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4C73D6E-9DEC-4D74-9A07-EAB0ACEC5609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.C.F. Analysis" sheetId="1" r:id="rId1"/>
    <sheet name="E.C.F. Analysis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L5" i="2"/>
  <c r="N5" i="2" s="1"/>
  <c r="M6" i="2"/>
  <c r="J6" i="2"/>
  <c r="H6" i="2"/>
  <c r="G6" i="2"/>
  <c r="D6" i="2"/>
  <c r="L4" i="2"/>
  <c r="P4" i="2" s="1"/>
  <c r="I4" i="2"/>
  <c r="L3" i="2"/>
  <c r="P3" i="2" s="1"/>
  <c r="I3" i="2"/>
  <c r="L2" i="2"/>
  <c r="P2" i="2" s="1"/>
  <c r="I2" i="2"/>
  <c r="M9" i="1"/>
  <c r="J9" i="1"/>
  <c r="H9" i="1"/>
  <c r="G9" i="1"/>
  <c r="D9" i="1"/>
  <c r="L8" i="1"/>
  <c r="P8" i="1" s="1"/>
  <c r="I8" i="1"/>
  <c r="L7" i="1"/>
  <c r="P7" i="1" s="1"/>
  <c r="I7" i="1"/>
  <c r="L6" i="1"/>
  <c r="N6" i="1" s="1"/>
  <c r="I6" i="1"/>
  <c r="L5" i="1"/>
  <c r="P5" i="1" s="1"/>
  <c r="I5" i="1"/>
  <c r="L4" i="1"/>
  <c r="N4" i="1" s="1"/>
  <c r="I4" i="1"/>
  <c r="L3" i="1"/>
  <c r="N3" i="1" s="1"/>
  <c r="I3" i="1"/>
  <c r="L2" i="1"/>
  <c r="I2" i="1"/>
  <c r="P5" i="2" l="1"/>
  <c r="I8" i="2"/>
  <c r="I7" i="2"/>
  <c r="P6" i="2"/>
  <c r="N4" i="2"/>
  <c r="N3" i="2"/>
  <c r="N2" i="2"/>
  <c r="L6" i="2"/>
  <c r="N7" i="2" s="1"/>
  <c r="I10" i="1"/>
  <c r="I11" i="1"/>
  <c r="L9" i="1"/>
  <c r="N10" i="1" s="1"/>
  <c r="P6" i="1"/>
  <c r="P2" i="1"/>
  <c r="P3" i="1"/>
  <c r="N5" i="1"/>
  <c r="P4" i="1"/>
  <c r="N2" i="1"/>
  <c r="N7" i="1"/>
  <c r="N8" i="1"/>
  <c r="N8" i="2" l="1"/>
  <c r="R5" i="2" s="1"/>
  <c r="Q7" i="2"/>
  <c r="P9" i="1"/>
  <c r="N11" i="1"/>
  <c r="Q10" i="1"/>
  <c r="R4" i="2" l="1"/>
  <c r="R3" i="2"/>
  <c r="R6" i="2"/>
  <c r="R2" i="2"/>
  <c r="R7" i="1"/>
  <c r="R6" i="1"/>
  <c r="R2" i="1"/>
  <c r="R3" i="1"/>
  <c r="R5" i="1"/>
  <c r="R4" i="1"/>
  <c r="R9" i="1"/>
  <c r="R8" i="1"/>
  <c r="Q8" i="2" l="1"/>
  <c r="S8" i="2" s="1"/>
  <c r="Q11" i="1"/>
  <c r="S11" i="1" s="1"/>
</calcChain>
</file>

<file path=xl/sharedStrings.xml><?xml version="1.0" encoding="utf-8"?>
<sst xmlns="http://schemas.openxmlformats.org/spreadsheetml/2006/main" count="154" uniqueCount="60">
  <si>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</si>
  <si>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</si>
  <si>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</si>
  <si>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</si>
  <si>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</si>
  <si>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</si>
  <si>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</si>
  <si>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</si>
  <si>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</si>
  <si>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</si>
  <si>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</si>
  <si>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</si>
  <si>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</si>
  <si>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</si>
  <si>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</si>
  <si>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</si>
  <si>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</si>
  <si>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</si>
  <si>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</si>
  <si>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</si>
  <si>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</si>
  <si>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110-009-200-005-01</t>
  </si>
  <si>
    <t>27 E M-61</t>
  </si>
  <si>
    <t>WD</t>
  </si>
  <si>
    <t>03-ARM'S LENGTH</t>
  </si>
  <si>
    <t>'2000</t>
  </si>
  <si>
    <t/>
  </si>
  <si>
    <t>2000 COMMERCIAL</t>
  </si>
  <si>
    <t>'4000</t>
  </si>
  <si>
    <t>SECTION LOTS AND ACREAGE</t>
  </si>
  <si>
    <t>19-MULTI PARCEL ARM'S LENGTH</t>
  </si>
  <si>
    <t>110-026-304-001-00</t>
  </si>
  <si>
    <t>1125 E HIGHWOOD RD</t>
  </si>
  <si>
    <t>1+ STORY</t>
  </si>
  <si>
    <t>110-033-303-001-24</t>
  </si>
  <si>
    <t>2461 S M-30</t>
  </si>
  <si>
    <t>MLC</t>
  </si>
  <si>
    <t>110-036-100-006-00</t>
  </si>
  <si>
    <t>1750 E HIGHWOOD RD</t>
  </si>
  <si>
    <t>LC</t>
  </si>
  <si>
    <t>110-036-100-006-01</t>
  </si>
  <si>
    <t>2051 S WHITNEY BEACH RD</t>
  </si>
  <si>
    <t>110-420-012-008-00</t>
  </si>
  <si>
    <t>298 E M-61</t>
  </si>
  <si>
    <t>110-420-012-012-00</t>
  </si>
  <si>
    <t>350 E M-61</t>
  </si>
  <si>
    <t>PTA</t>
  </si>
  <si>
    <t>110-420-012-015-00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</si>
  <si>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</si>
  <si>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</si>
  <si>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</si>
  <si>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</si>
  <si>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</si>
  <si>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</si>
  <si>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</si>
  <si>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</si>
  <si>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Used .70</t>
  </si>
  <si>
    <t>.69 in 2025</t>
  </si>
  <si>
    <t>Commercial and Industrial were combined for the ECF analysis</t>
  </si>
  <si>
    <t>Included residential sales due to a lack of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</si>
</sst>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view="pageLayout" zoomScaleNormal="100" workbookViewId="0">
      <selection activeCell="O17" sqref="O17"/>
    </sheetView>
  </sheetViews>
  <sheetFormatPr defaultRowHeight="15" x14ac:dyDescent="0.25"/>
  <cols>
    <col min="1" max="1" width="20.7109375" bestFit="1" customWidth="1" collapsed="1"/>
    <col min="2" max="2" width="24" customWidth="1" collapsed="1"/>
    <col min="3" max="3" width="11.42578125" customWidth="1" collapsed="1"/>
    <col min="4" max="4" width="10.28515625" customWidth="1" collapsed="1"/>
    <col min="5" max="5" width="6.5703125" customWidth="1" collapsed="1"/>
    <col min="6" max="6" width="32.7109375" bestFit="1" customWidth="1" collapsed="1"/>
    <col min="7" max="7" width="11.28515625" customWidth="1" collapsed="1"/>
    <col min="8" max="8" width="13.42578125" customWidth="1" collapsed="1"/>
    <col min="9" max="9" width="11.85546875" customWidth="1" collapsed="1"/>
    <col min="10" max="10" width="13.140625" customWidth="1" collapsed="1"/>
    <col min="11" max="11" width="13.7109375" bestFit="1" customWidth="1" collapsed="1"/>
    <col min="12" max="12" width="15.7109375" bestFit="1" customWidth="1" collapsed="1"/>
    <col min="13" max="13" width="14.7109375" bestFit="1" customWidth="1" collapsed="1"/>
    <col min="14" max="14" width="7.85546875" customWidth="1" collapsed="1"/>
    <col min="15" max="15" width="10.5703125" customWidth="1" collapsed="1"/>
    <col min="16" max="16" width="13.5703125" customWidth="1" collapsed="1"/>
    <col min="17" max="17" width="9.28515625" customWidth="1" collapsed="1"/>
    <col min="18" max="18" width="18.42578125" customWidth="1" collapsed="1"/>
    <col min="19" max="19" width="12.140625" customWidth="1" collapsed="1"/>
    <col min="20" max="20" width="18.28515625" customWidth="1" collapsed="1"/>
    <col min="21" max="21" width="28.42578125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0" t="s">
        <v>21</v>
      </c>
      <c r="B2" s="10" t="s">
        <v>22</v>
      </c>
      <c r="C2" s="11">
        <v>45428</v>
      </c>
      <c r="D2" s="12">
        <v>115000</v>
      </c>
      <c r="E2" s="10" t="s">
        <v>23</v>
      </c>
      <c r="F2" s="10" t="s">
        <v>24</v>
      </c>
      <c r="G2" s="12">
        <v>115000</v>
      </c>
      <c r="H2" s="12">
        <v>63600</v>
      </c>
      <c r="I2" s="13">
        <f t="shared" ref="I2:I8" si="0">H2/G2*100</f>
        <v>55.304347826086953</v>
      </c>
      <c r="J2" s="12">
        <v>113097</v>
      </c>
      <c r="K2" s="12">
        <v>40927</v>
      </c>
      <c r="L2" s="12">
        <f t="shared" ref="L2:L8" si="1">G2-K2</f>
        <v>74073</v>
      </c>
      <c r="M2" s="12">
        <v>104594</v>
      </c>
      <c r="N2" s="14">
        <f t="shared" ref="N2:N8" si="2">L2/M2</f>
        <v>0.70819549878578125</v>
      </c>
      <c r="O2" s="15">
        <v>2552</v>
      </c>
      <c r="P2" s="16">
        <f t="shared" ref="P2:P8" si="3">L2/O2</f>
        <v>29.025470219435736</v>
      </c>
      <c r="Q2" s="17" t="s">
        <v>25</v>
      </c>
      <c r="R2" s="18">
        <f>ABS(N11-N2)*100</f>
        <v>0.81807708918062438</v>
      </c>
      <c r="S2" s="10" t="s">
        <v>26</v>
      </c>
      <c r="T2" s="10" t="s">
        <v>26</v>
      </c>
      <c r="U2" s="10" t="s">
        <v>27</v>
      </c>
    </row>
    <row r="3" spans="1:21" x14ac:dyDescent="0.25">
      <c r="A3" s="10" t="s">
        <v>31</v>
      </c>
      <c r="B3" s="10" t="s">
        <v>32</v>
      </c>
      <c r="C3" s="11">
        <v>44845</v>
      </c>
      <c r="D3" s="12">
        <v>179000</v>
      </c>
      <c r="E3" s="10" t="s">
        <v>23</v>
      </c>
      <c r="F3" s="10" t="s">
        <v>24</v>
      </c>
      <c r="G3" s="12">
        <v>179000</v>
      </c>
      <c r="H3" s="12">
        <v>69600</v>
      </c>
      <c r="I3" s="13">
        <f t="shared" si="0"/>
        <v>38.882681564245807</v>
      </c>
      <c r="J3" s="12">
        <v>180321</v>
      </c>
      <c r="K3" s="12">
        <v>12625</v>
      </c>
      <c r="L3" s="12">
        <f t="shared" si="1"/>
        <v>166375</v>
      </c>
      <c r="M3" s="12">
        <v>209620</v>
      </c>
      <c r="N3" s="14">
        <f t="shared" si="2"/>
        <v>0.79369812040835797</v>
      </c>
      <c r="O3" s="15">
        <v>1560</v>
      </c>
      <c r="P3" s="16">
        <f t="shared" si="3"/>
        <v>106.65064102564102</v>
      </c>
      <c r="Q3" s="17" t="s">
        <v>28</v>
      </c>
      <c r="R3" s="18">
        <f>ABS(N11-N3)*100</f>
        <v>9.3683392514382966</v>
      </c>
      <c r="S3" s="10" t="s">
        <v>33</v>
      </c>
      <c r="T3" s="10" t="s">
        <v>26</v>
      </c>
      <c r="U3" s="10" t="s">
        <v>29</v>
      </c>
    </row>
    <row r="4" spans="1:21" x14ac:dyDescent="0.25">
      <c r="A4" s="19" t="s">
        <v>34</v>
      </c>
      <c r="B4" s="19" t="s">
        <v>35</v>
      </c>
      <c r="C4" s="20">
        <v>45293</v>
      </c>
      <c r="D4" s="21">
        <v>120000</v>
      </c>
      <c r="E4" s="19" t="s">
        <v>36</v>
      </c>
      <c r="F4" s="19" t="s">
        <v>24</v>
      </c>
      <c r="G4" s="21">
        <v>120000</v>
      </c>
      <c r="H4" s="21">
        <v>49800</v>
      </c>
      <c r="I4" s="22">
        <f t="shared" si="0"/>
        <v>41.5</v>
      </c>
      <c r="J4" s="21">
        <v>125149</v>
      </c>
      <c r="K4" s="21">
        <v>47002</v>
      </c>
      <c r="L4" s="21">
        <f t="shared" si="1"/>
        <v>72998</v>
      </c>
      <c r="M4" s="21">
        <v>113256</v>
      </c>
      <c r="N4" s="23">
        <f t="shared" si="2"/>
        <v>0.64453980363071273</v>
      </c>
      <c r="O4" s="24">
        <v>2136</v>
      </c>
      <c r="P4" s="25">
        <f t="shared" si="3"/>
        <v>34.175093632958799</v>
      </c>
      <c r="Q4" s="26" t="s">
        <v>25</v>
      </c>
      <c r="R4" s="27">
        <f>ABS(N11-N4)*100</f>
        <v>5.5474924263262277</v>
      </c>
      <c r="S4" s="19" t="s">
        <v>26</v>
      </c>
      <c r="T4" s="19" t="s">
        <v>26</v>
      </c>
      <c r="U4" s="19" t="s">
        <v>27</v>
      </c>
    </row>
    <row r="5" spans="1:21" x14ac:dyDescent="0.25">
      <c r="A5" s="19" t="s">
        <v>37</v>
      </c>
      <c r="B5" s="19" t="s">
        <v>38</v>
      </c>
      <c r="C5" s="20">
        <v>45210</v>
      </c>
      <c r="D5" s="21">
        <v>45000</v>
      </c>
      <c r="E5" s="19" t="s">
        <v>39</v>
      </c>
      <c r="F5" s="19" t="s">
        <v>24</v>
      </c>
      <c r="G5" s="21">
        <v>45000</v>
      </c>
      <c r="H5" s="21">
        <v>14600</v>
      </c>
      <c r="I5" s="22">
        <f t="shared" si="0"/>
        <v>32.444444444444443</v>
      </c>
      <c r="J5" s="21">
        <v>52894</v>
      </c>
      <c r="K5" s="21">
        <v>19212</v>
      </c>
      <c r="L5" s="21">
        <f t="shared" si="1"/>
        <v>25788</v>
      </c>
      <c r="M5" s="21">
        <v>42102</v>
      </c>
      <c r="N5" s="23">
        <f t="shared" si="2"/>
        <v>0.61251246971640305</v>
      </c>
      <c r="O5" s="24">
        <v>0</v>
      </c>
      <c r="P5" s="25" t="e">
        <f t="shared" si="3"/>
        <v>#DIV/0!</v>
      </c>
      <c r="Q5" s="26" t="s">
        <v>28</v>
      </c>
      <c r="R5" s="27">
        <f>ABS(N11-N5)*100</f>
        <v>8.7502258177571957</v>
      </c>
      <c r="S5" s="19" t="s">
        <v>26</v>
      </c>
      <c r="T5" s="19" t="s">
        <v>26</v>
      </c>
      <c r="U5" s="19" t="s">
        <v>29</v>
      </c>
    </row>
    <row r="6" spans="1:21" x14ac:dyDescent="0.25">
      <c r="A6" s="10" t="s">
        <v>40</v>
      </c>
      <c r="B6" s="10" t="s">
        <v>41</v>
      </c>
      <c r="C6" s="11">
        <v>45306</v>
      </c>
      <c r="D6" s="12">
        <v>89500</v>
      </c>
      <c r="E6" s="10" t="s">
        <v>23</v>
      </c>
      <c r="F6" s="10" t="s">
        <v>24</v>
      </c>
      <c r="G6" s="12">
        <v>89500</v>
      </c>
      <c r="H6" s="12">
        <v>32000</v>
      </c>
      <c r="I6" s="13">
        <f t="shared" si="0"/>
        <v>35.754189944134076</v>
      </c>
      <c r="J6" s="12">
        <v>94700</v>
      </c>
      <c r="K6" s="12">
        <v>19320</v>
      </c>
      <c r="L6" s="12">
        <f t="shared" si="1"/>
        <v>70180</v>
      </c>
      <c r="M6" s="12">
        <v>94224</v>
      </c>
      <c r="N6" s="14">
        <f t="shared" si="2"/>
        <v>0.74482085243674645</v>
      </c>
      <c r="O6" s="15">
        <v>1550</v>
      </c>
      <c r="P6" s="16">
        <f t="shared" si="3"/>
        <v>45.277419354838713</v>
      </c>
      <c r="Q6" s="17" t="s">
        <v>28</v>
      </c>
      <c r="R6" s="18">
        <f>ABS(N11-N6)*100</f>
        <v>4.4806124542771446</v>
      </c>
      <c r="S6" s="10" t="s">
        <v>33</v>
      </c>
      <c r="T6" s="10" t="s">
        <v>26</v>
      </c>
      <c r="U6" s="10" t="s">
        <v>29</v>
      </c>
    </row>
    <row r="7" spans="1:21" x14ac:dyDescent="0.25">
      <c r="A7" s="19" t="s">
        <v>42</v>
      </c>
      <c r="B7" s="19" t="s">
        <v>43</v>
      </c>
      <c r="C7" s="20">
        <v>44932</v>
      </c>
      <c r="D7" s="21">
        <v>27500</v>
      </c>
      <c r="E7" s="19" t="s">
        <v>23</v>
      </c>
      <c r="F7" s="19" t="s">
        <v>24</v>
      </c>
      <c r="G7" s="21">
        <v>27500</v>
      </c>
      <c r="H7" s="21">
        <v>18800</v>
      </c>
      <c r="I7" s="22">
        <f t="shared" si="0"/>
        <v>68.36363636363636</v>
      </c>
      <c r="J7" s="21">
        <v>36922</v>
      </c>
      <c r="K7" s="21">
        <v>13200</v>
      </c>
      <c r="L7" s="21">
        <f t="shared" si="1"/>
        <v>14300</v>
      </c>
      <c r="M7" s="21">
        <v>34379</v>
      </c>
      <c r="N7" s="23">
        <f t="shared" si="2"/>
        <v>0.4159515983594636</v>
      </c>
      <c r="O7" s="24">
        <v>936</v>
      </c>
      <c r="P7" s="25">
        <f t="shared" si="3"/>
        <v>15.277777777777779</v>
      </c>
      <c r="Q7" s="26" t="s">
        <v>25</v>
      </c>
      <c r="R7" s="27">
        <f>ABS(N11-N7)*100</f>
        <v>28.406312953451142</v>
      </c>
      <c r="S7" s="19" t="s">
        <v>26</v>
      </c>
      <c r="T7" s="19" t="s">
        <v>26</v>
      </c>
      <c r="U7" s="19" t="s">
        <v>27</v>
      </c>
    </row>
    <row r="8" spans="1:21" x14ac:dyDescent="0.25">
      <c r="A8" s="10" t="s">
        <v>44</v>
      </c>
      <c r="B8" s="10" t="s">
        <v>45</v>
      </c>
      <c r="C8" s="11">
        <v>44683</v>
      </c>
      <c r="D8" s="12">
        <v>165000</v>
      </c>
      <c r="E8" s="10" t="s">
        <v>46</v>
      </c>
      <c r="F8" s="10" t="s">
        <v>30</v>
      </c>
      <c r="G8" s="12">
        <v>165000</v>
      </c>
      <c r="H8" s="12">
        <v>64000</v>
      </c>
      <c r="I8" s="13">
        <f t="shared" si="0"/>
        <v>38.787878787878789</v>
      </c>
      <c r="J8" s="12">
        <v>126025</v>
      </c>
      <c r="K8" s="12">
        <v>35200</v>
      </c>
      <c r="L8" s="12">
        <f t="shared" si="1"/>
        <v>129800</v>
      </c>
      <c r="M8" s="12">
        <v>132397</v>
      </c>
      <c r="N8" s="14">
        <f t="shared" si="2"/>
        <v>0.98038475192036079</v>
      </c>
      <c r="O8" s="15">
        <v>1728</v>
      </c>
      <c r="P8" s="16">
        <f t="shared" si="3"/>
        <v>75.115740740740748</v>
      </c>
      <c r="Q8" s="17" t="s">
        <v>25</v>
      </c>
      <c r="R8" s="18">
        <f>ABS(N11-N8)*100</f>
        <v>28.037002402638578</v>
      </c>
      <c r="S8" s="10" t="s">
        <v>26</v>
      </c>
      <c r="T8" s="10" t="s">
        <v>47</v>
      </c>
      <c r="U8" s="10" t="s">
        <v>27</v>
      </c>
    </row>
    <row r="9" spans="1:21" x14ac:dyDescent="0.25">
      <c r="A9" s="37"/>
      <c r="B9" s="37"/>
      <c r="C9" s="38" t="s">
        <v>48</v>
      </c>
      <c r="D9" s="39">
        <f>+SUM(D2:D8)</f>
        <v>741000</v>
      </c>
      <c r="E9" s="37"/>
      <c r="F9" s="37"/>
      <c r="G9" s="39">
        <f>+SUM(G2:G8)</f>
        <v>741000</v>
      </c>
      <c r="H9" s="39">
        <f>+SUM(H2:H8)</f>
        <v>312400</v>
      </c>
      <c r="I9" s="40"/>
      <c r="J9" s="39">
        <f>+SUM(J2:J8)</f>
        <v>729108</v>
      </c>
      <c r="K9" s="39"/>
      <c r="L9" s="39">
        <f>+SUM(L2:L8)</f>
        <v>553514</v>
      </c>
      <c r="M9" s="39">
        <f>+SUM(M2:M8)</f>
        <v>730572</v>
      </c>
      <c r="N9" s="41"/>
      <c r="O9" s="42"/>
      <c r="P9" s="43" t="e">
        <f>AVERAGE(P2:P8)</f>
        <v>#DIV/0!</v>
      </c>
      <c r="Q9" s="44"/>
      <c r="R9" s="45">
        <f>ABS(N11-N10)*100</f>
        <v>5.7629966947874927</v>
      </c>
      <c r="S9" s="37"/>
      <c r="T9" s="37"/>
      <c r="U9" s="37"/>
    </row>
    <row r="10" spans="1:21" x14ac:dyDescent="0.25">
      <c r="A10" s="28"/>
      <c r="B10" s="28"/>
      <c r="C10" s="29"/>
      <c r="D10" s="30"/>
      <c r="E10" s="28"/>
      <c r="F10" s="28"/>
      <c r="G10" s="30"/>
      <c r="H10" s="30" t="s">
        <v>49</v>
      </c>
      <c r="I10" s="31">
        <f>H9/G9*100</f>
        <v>42.159244264507421</v>
      </c>
      <c r="J10" s="30"/>
      <c r="K10" s="30"/>
      <c r="L10" s="30"/>
      <c r="M10" s="30" t="s">
        <v>51</v>
      </c>
      <c r="N10" s="32">
        <f>L9/M9</f>
        <v>0.75764469484184993</v>
      </c>
      <c r="O10" s="33"/>
      <c r="P10" s="34" t="s">
        <v>53</v>
      </c>
      <c r="Q10" s="35">
        <f>STDEV(N2:N8)</f>
        <v>0.17363007428803803</v>
      </c>
      <c r="R10" s="36"/>
      <c r="S10" s="28"/>
      <c r="T10" s="28"/>
      <c r="U10" s="28"/>
    </row>
    <row r="11" spans="1:21" x14ac:dyDescent="0.25">
      <c r="A11" s="46"/>
      <c r="B11" s="46"/>
      <c r="C11" s="47"/>
      <c r="D11" s="48"/>
      <c r="E11" s="46"/>
      <c r="F11" s="46"/>
      <c r="G11" s="48"/>
      <c r="H11" s="48" t="s">
        <v>50</v>
      </c>
      <c r="I11" s="49">
        <f>STDEV(I2:I8)</f>
        <v>12.787915391770259</v>
      </c>
      <c r="J11" s="48"/>
      <c r="K11" s="48"/>
      <c r="L11" s="48"/>
      <c r="M11" s="48" t="s">
        <v>52</v>
      </c>
      <c r="N11" s="50">
        <f>AVERAGE(N2:N8)</f>
        <v>0.70001472789397501</v>
      </c>
      <c r="O11" s="51"/>
      <c r="P11" s="52" t="s">
        <v>54</v>
      </c>
      <c r="Q11" s="54">
        <f>AVERAGE(R2:R8)</f>
        <v>12.201151770724172</v>
      </c>
      <c r="R11" s="53" t="s">
        <v>55</v>
      </c>
      <c r="S11" s="46">
        <f>+(Q11/N11)</f>
        <v>17.429850093914268</v>
      </c>
      <c r="T11" s="46"/>
      <c r="U11" s="46"/>
    </row>
    <row r="13" spans="1:21" x14ac:dyDescent="0.25">
      <c r="M13" t="s">
        <v>56</v>
      </c>
      <c r="O13" s="55" t="s">
        <v>57</v>
      </c>
    </row>
    <row r="15" spans="1:21" x14ac:dyDescent="0.25">
      <c r="P15" t="s">
        <v>58</v>
      </c>
    </row>
    <row r="16" spans="1:21" x14ac:dyDescent="0.25">
      <c r="P16" t="s">
        <v>59</v>
      </c>
    </row>
  </sheetData>
  <pageMargins left="0.25" right="0.25" top="0.75" bottom="0.75" header="0.3" footer="0.3"/>
  <pageSetup paperSize="5" orientation="landscape" r:id="rId1"/>
  <headerFooter>
    <oddHeader>&amp;LCommercial and Industrial&amp;CHay Township&amp;R2026
ECF Analysis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7829-1C3A-4594-BCA8-E3CDD5D675B1}">
  <dimension ref="A1:U13"/>
  <sheetViews>
    <sheetView tabSelected="1" view="pageLayout" zoomScaleNormal="100" workbookViewId="0">
      <selection activeCell="A11" sqref="A11"/>
    </sheetView>
  </sheetViews>
  <sheetFormatPr defaultRowHeight="15" x14ac:dyDescent="0.25"/>
  <cols>
    <col min="1" max="1" width="20.7109375" bestFit="1" customWidth="1" collapsed="1"/>
    <col min="2" max="2" width="24" customWidth="1" collapsed="1"/>
    <col min="3" max="3" width="11.42578125" customWidth="1" collapsed="1"/>
    <col min="4" max="4" width="10.28515625" customWidth="1" collapsed="1"/>
    <col min="5" max="5" width="6.5703125" customWidth="1" collapsed="1"/>
    <col min="6" max="6" width="32.7109375" bestFit="1" customWidth="1" collapsed="1"/>
    <col min="7" max="7" width="11.28515625" customWidth="1" collapsed="1"/>
    <col min="8" max="8" width="13.42578125" customWidth="1" collapsed="1"/>
    <col min="9" max="9" width="11.85546875" customWidth="1" collapsed="1"/>
    <col min="10" max="10" width="13.140625" customWidth="1" collapsed="1"/>
    <col min="11" max="11" width="13.7109375" bestFit="1" customWidth="1" collapsed="1"/>
    <col min="12" max="12" width="15.7109375" bestFit="1" customWidth="1" collapsed="1"/>
    <col min="13" max="13" width="14.7109375" bestFit="1" customWidth="1" collapsed="1"/>
    <col min="14" max="14" width="7.85546875" customWidth="1" collapsed="1"/>
    <col min="15" max="15" width="10.5703125" customWidth="1" collapsed="1"/>
    <col min="16" max="16" width="13.5703125" customWidth="1" collapsed="1"/>
    <col min="17" max="17" width="9.28515625" customWidth="1" collapsed="1"/>
    <col min="18" max="18" width="18.42578125" customWidth="1" collapsed="1"/>
    <col min="19" max="19" width="12.140625" customWidth="1" collapsed="1"/>
    <col min="20" max="20" width="18.28515625" customWidth="1" collapsed="1"/>
    <col min="21" max="21" width="28.42578125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0" t="s">
        <v>21</v>
      </c>
      <c r="B2" s="10" t="s">
        <v>22</v>
      </c>
      <c r="C2" s="11">
        <v>45428</v>
      </c>
      <c r="D2" s="12">
        <v>115000</v>
      </c>
      <c r="E2" s="10" t="s">
        <v>23</v>
      </c>
      <c r="F2" s="10" t="s">
        <v>24</v>
      </c>
      <c r="G2" s="12">
        <v>115000</v>
      </c>
      <c r="H2" s="12">
        <v>63600</v>
      </c>
      <c r="I2" s="13">
        <f t="shared" ref="I2:I5" si="0">H2/G2*100</f>
        <v>55.304347826086953</v>
      </c>
      <c r="J2" s="12">
        <v>113097</v>
      </c>
      <c r="K2" s="12">
        <v>40927</v>
      </c>
      <c r="L2" s="12">
        <f t="shared" ref="L2:L5" si="1">G2-K2</f>
        <v>74073</v>
      </c>
      <c r="M2" s="12">
        <v>104594</v>
      </c>
      <c r="N2" s="14">
        <f t="shared" ref="N2:N5" si="2">L2/M2</f>
        <v>0.70819549878578125</v>
      </c>
      <c r="O2" s="15">
        <v>2552</v>
      </c>
      <c r="P2" s="16">
        <f t="shared" ref="P2:P5" si="3">L2/O2</f>
        <v>29.025470219435736</v>
      </c>
      <c r="Q2" s="17" t="s">
        <v>25</v>
      </c>
      <c r="R2" s="18">
        <f>ABS(N8-N2)*100</f>
        <v>2.0927585611701716</v>
      </c>
      <c r="S2" s="10" t="s">
        <v>26</v>
      </c>
      <c r="T2" s="10" t="s">
        <v>26</v>
      </c>
      <c r="U2" s="10" t="s">
        <v>27</v>
      </c>
    </row>
    <row r="3" spans="1:21" x14ac:dyDescent="0.25">
      <c r="A3" s="19" t="s">
        <v>34</v>
      </c>
      <c r="B3" s="19" t="s">
        <v>35</v>
      </c>
      <c r="C3" s="20">
        <v>45293</v>
      </c>
      <c r="D3" s="21">
        <v>120000</v>
      </c>
      <c r="E3" s="19" t="s">
        <v>36</v>
      </c>
      <c r="F3" s="19" t="s">
        <v>24</v>
      </c>
      <c r="G3" s="21">
        <v>120000</v>
      </c>
      <c r="H3" s="21">
        <v>49800</v>
      </c>
      <c r="I3" s="22">
        <f t="shared" si="0"/>
        <v>41.5</v>
      </c>
      <c r="J3" s="21">
        <v>125149</v>
      </c>
      <c r="K3" s="21">
        <v>47002</v>
      </c>
      <c r="L3" s="21">
        <f t="shared" si="1"/>
        <v>72998</v>
      </c>
      <c r="M3" s="21">
        <v>113256</v>
      </c>
      <c r="N3" s="23">
        <f t="shared" si="2"/>
        <v>0.64453980363071273</v>
      </c>
      <c r="O3" s="24">
        <v>2136</v>
      </c>
      <c r="P3" s="25">
        <f t="shared" si="3"/>
        <v>34.175093632958799</v>
      </c>
      <c r="Q3" s="26" t="s">
        <v>25</v>
      </c>
      <c r="R3" s="27">
        <f>ABS(N8-N3)*100</f>
        <v>4.2728109543366806</v>
      </c>
      <c r="S3" s="19" t="s">
        <v>26</v>
      </c>
      <c r="T3" s="19" t="s">
        <v>26</v>
      </c>
      <c r="U3" s="19" t="s">
        <v>27</v>
      </c>
    </row>
    <row r="4" spans="1:21" ht="15.75" thickBot="1" x14ac:dyDescent="0.3">
      <c r="A4" s="19" t="s">
        <v>42</v>
      </c>
      <c r="B4" s="19" t="s">
        <v>43</v>
      </c>
      <c r="C4" s="20">
        <v>44932</v>
      </c>
      <c r="D4" s="21">
        <v>27500</v>
      </c>
      <c r="E4" s="19" t="s">
        <v>23</v>
      </c>
      <c r="F4" s="19" t="s">
        <v>24</v>
      </c>
      <c r="G4" s="21">
        <v>27500</v>
      </c>
      <c r="H4" s="21">
        <v>18800</v>
      </c>
      <c r="I4" s="22">
        <f t="shared" si="0"/>
        <v>68.36363636363636</v>
      </c>
      <c r="J4" s="21">
        <v>36922</v>
      </c>
      <c r="K4" s="21">
        <v>13200</v>
      </c>
      <c r="L4" s="21">
        <f t="shared" si="1"/>
        <v>14300</v>
      </c>
      <c r="M4" s="21">
        <v>34379</v>
      </c>
      <c r="N4" s="23">
        <f t="shared" si="2"/>
        <v>0.4159515983594636</v>
      </c>
      <c r="O4" s="24">
        <v>936</v>
      </c>
      <c r="P4" s="25">
        <f t="shared" si="3"/>
        <v>15.277777777777779</v>
      </c>
      <c r="Q4" s="26" t="s">
        <v>25</v>
      </c>
      <c r="R4" s="27">
        <f>ABS(N8-N4)*100</f>
        <v>27.131631481461593</v>
      </c>
      <c r="S4" s="19" t="s">
        <v>26</v>
      </c>
      <c r="T4" s="19" t="s">
        <v>26</v>
      </c>
      <c r="U4" s="19" t="s">
        <v>27</v>
      </c>
    </row>
    <row r="5" spans="1:21" ht="15.75" thickBot="1" x14ac:dyDescent="0.3">
      <c r="A5" s="10" t="s">
        <v>44</v>
      </c>
      <c r="B5" s="10" t="s">
        <v>45</v>
      </c>
      <c r="C5" s="11">
        <v>44683</v>
      </c>
      <c r="D5" s="12">
        <v>165000</v>
      </c>
      <c r="E5" s="10" t="s">
        <v>46</v>
      </c>
      <c r="F5" s="10" t="s">
        <v>30</v>
      </c>
      <c r="G5" s="12">
        <v>165000</v>
      </c>
      <c r="H5" s="12">
        <v>64000</v>
      </c>
      <c r="I5" s="13">
        <f t="shared" si="0"/>
        <v>38.787878787878789</v>
      </c>
      <c r="J5" s="12">
        <v>126025</v>
      </c>
      <c r="K5" s="12">
        <v>35200</v>
      </c>
      <c r="L5" s="12">
        <f t="shared" si="1"/>
        <v>129800</v>
      </c>
      <c r="M5" s="12">
        <v>132397</v>
      </c>
      <c r="N5" s="14">
        <f t="shared" si="2"/>
        <v>0.98038475192036079</v>
      </c>
      <c r="O5" s="15">
        <v>1728</v>
      </c>
      <c r="P5" s="16">
        <f t="shared" si="3"/>
        <v>75.115740740740748</v>
      </c>
      <c r="Q5" s="17" t="s">
        <v>25</v>
      </c>
      <c r="R5" s="18">
        <f>ABS(N8-N5)*100</f>
        <v>29.311683874628123</v>
      </c>
      <c r="S5" s="10" t="s">
        <v>26</v>
      </c>
      <c r="T5" s="10" t="s">
        <v>47</v>
      </c>
      <c r="U5" s="10" t="s">
        <v>27</v>
      </c>
    </row>
    <row r="6" spans="1:21" ht="15.75" thickTop="1" x14ac:dyDescent="0.25">
      <c r="A6" s="37"/>
      <c r="B6" s="37"/>
      <c r="C6" s="38" t="s">
        <v>48</v>
      </c>
      <c r="D6" s="39">
        <f>+SUM(D2:D5)</f>
        <v>427500</v>
      </c>
      <c r="E6" s="37"/>
      <c r="F6" s="37"/>
      <c r="G6" s="39">
        <f>+SUM(G2:G5)</f>
        <v>427500</v>
      </c>
      <c r="H6" s="39">
        <f>+SUM(H2:H5)</f>
        <v>196200</v>
      </c>
      <c r="I6" s="40"/>
      <c r="J6" s="39">
        <f>+SUM(J2:J5)</f>
        <v>401193</v>
      </c>
      <c r="K6" s="39"/>
      <c r="L6" s="39">
        <f>+SUM(L2:L5)</f>
        <v>291171</v>
      </c>
      <c r="M6" s="39">
        <f>+SUM(M2:M5)</f>
        <v>384626</v>
      </c>
      <c r="N6" s="41"/>
      <c r="O6" s="42"/>
      <c r="P6" s="43">
        <f>AVERAGE(P2:P5)</f>
        <v>38.398520592728261</v>
      </c>
      <c r="Q6" s="44"/>
      <c r="R6" s="45">
        <f>ABS(N8-N7)*100</f>
        <v>6.9755792971630814</v>
      </c>
      <c r="S6" s="37"/>
      <c r="T6" s="37"/>
      <c r="U6" s="37"/>
    </row>
    <row r="7" spans="1:21" x14ac:dyDescent="0.25">
      <c r="A7" s="28"/>
      <c r="B7" s="28"/>
      <c r="C7" s="29"/>
      <c r="D7" s="30"/>
      <c r="E7" s="28"/>
      <c r="F7" s="28"/>
      <c r="G7" s="30"/>
      <c r="H7" s="30" t="s">
        <v>49</v>
      </c>
      <c r="I7" s="31">
        <f>H6/G6*100</f>
        <v>45.89473684210526</v>
      </c>
      <c r="J7" s="30"/>
      <c r="K7" s="30"/>
      <c r="L7" s="30"/>
      <c r="M7" s="30" t="s">
        <v>51</v>
      </c>
      <c r="N7" s="32">
        <f>L6/M6</f>
        <v>0.75702370614571035</v>
      </c>
      <c r="O7" s="33"/>
      <c r="P7" s="34" t="s">
        <v>53</v>
      </c>
      <c r="Q7" s="35">
        <f>STDEV(N2:N5)</f>
        <v>0.23223097627569159</v>
      </c>
      <c r="R7" s="36"/>
      <c r="S7" s="28"/>
      <c r="T7" s="28"/>
      <c r="U7" s="28"/>
    </row>
    <row r="8" spans="1:21" x14ac:dyDescent="0.25">
      <c r="A8" s="46"/>
      <c r="B8" s="46"/>
      <c r="C8" s="47"/>
      <c r="D8" s="48"/>
      <c r="E8" s="46"/>
      <c r="F8" s="46"/>
      <c r="G8" s="48"/>
      <c r="H8" s="48" t="s">
        <v>50</v>
      </c>
      <c r="I8" s="49">
        <f>STDEV(I2:I5)</f>
        <v>13.655385939338958</v>
      </c>
      <c r="J8" s="48"/>
      <c r="K8" s="48"/>
      <c r="L8" s="48"/>
      <c r="M8" s="48" t="s">
        <v>52</v>
      </c>
      <c r="N8" s="50">
        <f>AVERAGE(N2:N5)</f>
        <v>0.68726791317407954</v>
      </c>
      <c r="O8" s="51"/>
      <c r="P8" s="52" t="s">
        <v>54</v>
      </c>
      <c r="Q8" s="54">
        <f>AVERAGE(R2:R5)</f>
        <v>15.702221217899142</v>
      </c>
      <c r="R8" s="53" t="s">
        <v>55</v>
      </c>
      <c r="S8" s="46">
        <f>+(Q8/N8)</f>
        <v>22.847307311903986</v>
      </c>
      <c r="T8" s="46"/>
      <c r="U8" s="46"/>
    </row>
    <row r="10" spans="1:21" x14ac:dyDescent="0.25">
      <c r="M10" t="s">
        <v>56</v>
      </c>
      <c r="O10" s="55" t="s">
        <v>57</v>
      </c>
    </row>
    <row r="12" spans="1:21" x14ac:dyDescent="0.25">
      <c r="P12" t="s">
        <v>58</v>
      </c>
    </row>
    <row r="13" spans="1:21" x14ac:dyDescent="0.25">
      <c r="P13" t="s">
        <v>59</v>
      </c>
    </row>
  </sheetData>
  <pageMargins left="0.25" right="0.25" top="0.75" bottom="0.75" header="0.3" footer="0.3"/>
  <pageSetup paperSize="5" orientation="landscape" r:id="rId1"/>
  <headerFooter>
    <oddHeader>&amp;LCommercial and Industrial&amp;CHay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E.C.F. Analysis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2026-01-21T21:10:46Z</cp:lastPrinted>
  <dcterms:created xsi:type="dcterms:W3CDTF">2026-01-21T21:07:07Z</dcterms:created>
  <dcterms:modified xsi:type="dcterms:W3CDTF">2026-02-19T16:20:14Z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