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E294836-152D-475D-B35D-7E29E6802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 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S22" i="1" s="1"/>
  <c r="I22" i="1"/>
  <c r="K21" i="1"/>
  <c r="Q21" i="1" s="1"/>
  <c r="I21" i="1"/>
  <c r="K20" i="1"/>
  <c r="R20" i="1" s="1"/>
  <c r="I20" i="1"/>
  <c r="K19" i="1"/>
  <c r="S19" i="1" s="1"/>
  <c r="I19" i="1"/>
  <c r="R21" i="1" l="1"/>
  <c r="S21" i="1"/>
  <c r="Q19" i="1"/>
  <c r="R19" i="1"/>
  <c r="S20" i="1"/>
  <c r="Q22" i="1"/>
  <c r="Q20" i="1"/>
  <c r="R22" i="1"/>
  <c r="K16" i="1" l="1"/>
  <c r="Q16" i="1" s="1"/>
  <c r="I16" i="1"/>
  <c r="K15" i="1"/>
  <c r="S15" i="1" s="1"/>
  <c r="I15" i="1"/>
  <c r="K14" i="1"/>
  <c r="S14" i="1" s="1"/>
  <c r="I14" i="1"/>
  <c r="K13" i="1"/>
  <c r="I13" i="1"/>
  <c r="Q14" i="1" l="1"/>
  <c r="R14" i="1"/>
  <c r="R15" i="1"/>
  <c r="Q13" i="1"/>
  <c r="R16" i="1"/>
  <c r="R13" i="1"/>
  <c r="S16" i="1"/>
  <c r="S13" i="1"/>
  <c r="Q15" i="1"/>
  <c r="P6" i="1" l="1"/>
  <c r="O6" i="1"/>
  <c r="M6" i="1"/>
  <c r="L6" i="1"/>
  <c r="J6" i="1"/>
  <c r="H6" i="1"/>
  <c r="G6" i="1"/>
  <c r="D6" i="1"/>
  <c r="K4" i="1"/>
  <c r="S4" i="1" s="1"/>
  <c r="I4" i="1"/>
  <c r="K3" i="1"/>
  <c r="S3" i="1" s="1"/>
  <c r="I3" i="1"/>
  <c r="K2" i="1"/>
  <c r="S2" i="1" s="1"/>
  <c r="I2" i="1"/>
  <c r="I7" i="1" l="1"/>
  <c r="Q2" i="1"/>
  <c r="R2" i="1"/>
  <c r="I8" i="1"/>
  <c r="Q3" i="1"/>
  <c r="R4" i="1"/>
  <c r="R3" i="1"/>
  <c r="Q4" i="1"/>
  <c r="K6" i="1"/>
  <c r="S8" i="1" l="1"/>
  <c r="P8" i="1"/>
  <c r="M8" i="1"/>
</calcChain>
</file>

<file path=xl/sharedStrings.xml><?xml version="1.0" encoding="utf-8"?>
<sst xmlns="http://schemas.openxmlformats.org/spreadsheetml/2006/main" count="159" uniqueCount="70">
  <si>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</si>
  <si>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</si>
  <si>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</si>
  <si>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</si>
  <si>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</si>
  <si>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</si>
  <si>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</si>
  <si>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</si>
  <si>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</si>
  <si>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</si>
  <si>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</si>
  <si>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</si>
  <si>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</si>
  <si>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</si>
  <si>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</si>
  <si>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</si>
  <si>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</si>
  <si>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</si>
  <si>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</si>
  <si>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</si>
  <si>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</si>
  <si>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</si>
  <si>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</si>
  <si>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PTA</t>
  </si>
  <si>
    <t>19-MULTI PARCEL ARM'S LENGTH</t>
  </si>
  <si>
    <t/>
  </si>
  <si>
    <t>SECTION LOTS AND ACREAGE</t>
  </si>
  <si>
    <t>WD</t>
  </si>
  <si>
    <t>FF RATE</t>
  </si>
  <si>
    <t>03-ARM'S LENGTH</t>
  </si>
  <si>
    <t>LC</t>
  </si>
  <si>
    <t>110-009-400-001-02</t>
  </si>
  <si>
    <t>110-430-018-022-10</t>
  </si>
  <si>
    <t>110-011-400-004-00</t>
  </si>
  <si>
    <t>1333 HEIL RD</t>
  </si>
  <si>
    <t>MLC</t>
  </si>
  <si>
    <t>110-022-201-002-00</t>
  </si>
  <si>
    <t>622 E MCKIMMEY RD</t>
  </si>
  <si>
    <t>110-036-100-006-00</t>
  </si>
  <si>
    <t>1750 E HIGHWOOD RD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</si>
  <si>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</si>
  <si>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</si>
  <si>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</si>
  <si>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</si>
  <si>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</si>
  <si>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</si>
  <si>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</si>
  <si>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Off water sales</t>
  </si>
  <si>
    <t>110-375-000-229-00</t>
  </si>
  <si>
    <t>S WHITNEY BEACH RD</t>
  </si>
  <si>
    <t>OFF WATER TITTABAWASSEE</t>
  </si>
  <si>
    <t>110-377-000-402-00</t>
  </si>
  <si>
    <t>1512 HAY RD</t>
  </si>
  <si>
    <t>110-379-000-429-10</t>
  </si>
  <si>
    <t>1734 HAY RD</t>
  </si>
  <si>
    <t>110-380-000-495-00</t>
  </si>
  <si>
    <t>1642 S WHITNEY RD</t>
  </si>
  <si>
    <t>110-420-004-009-00</t>
  </si>
  <si>
    <t>HICKORY ST</t>
  </si>
  <si>
    <t>110-420-004-011-00</t>
  </si>
  <si>
    <t>OFF WATER-SMALLWOOD</t>
  </si>
  <si>
    <t>110-420-010-031-00</t>
  </si>
  <si>
    <t>315 BIRWOOD ST</t>
  </si>
  <si>
    <t>110-430-017-002-00</t>
  </si>
  <si>
    <t>SYCAMORE ST</t>
  </si>
  <si>
    <t>110-430-017-003-00, 110-430-017-005-00</t>
  </si>
  <si>
    <t>115 ELM ST</t>
  </si>
  <si>
    <t>Used $100/ff</t>
  </si>
  <si>
    <t>$100/ff in 2025</t>
  </si>
  <si>
    <t>Included off water sales due to a lack of supporting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</si>
</sst>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view="pageLayout" topLeftCell="A5" zoomScaleNormal="100" workbookViewId="0">
      <selection activeCell="P10" sqref="P10"/>
    </sheetView>
  </sheetViews>
  <sheetFormatPr defaultRowHeight="15" x14ac:dyDescent="0.25"/>
  <cols>
    <col min="1" max="1" width="18.28515625" customWidth="1" collapsed="1"/>
    <col min="2" max="2" width="21" customWidth="1" collapsed="1"/>
    <col min="3" max="3" width="12.140625" customWidth="1" collapsed="1"/>
    <col min="4" max="4" width="11" customWidth="1" collapsed="1"/>
    <col min="5" max="5" width="7.7109375" bestFit="1" customWidth="1" collapsed="1"/>
    <col min="6" max="6" width="27.85546875" customWidth="1" collapsed="1"/>
    <col min="7" max="7" width="11.7109375" customWidth="1" collapsed="1"/>
    <col min="8" max="8" width="13.28515625" customWidth="1" collapsed="1"/>
    <col min="9" max="9" width="12.28515625" customWidth="1" collapsed="1"/>
    <col min="10" max="10" width="12.5703125" customWidth="1" collapsed="1"/>
    <col min="11" max="11" width="13.28515625" customWidth="1" collapsed="1"/>
    <col min="12" max="12" width="13" customWidth="1" collapsed="1"/>
    <col min="13" max="13" width="10.7109375" customWidth="1" collapsed="1"/>
    <col min="14" max="14" width="8.140625" customWidth="1" collapsed="1"/>
    <col min="15" max="15" width="12.5703125" customWidth="1" collapsed="1"/>
    <col min="16" max="16" width="11" customWidth="1" collapsed="1"/>
    <col min="17" max="17" width="11.28515625" customWidth="1" collapsed="1"/>
    <col min="18" max="18" width="12.5703125" customWidth="1" collapsed="1"/>
    <col min="19" max="19" width="13.5703125" customWidth="1" collapsed="1"/>
    <col min="20" max="20" width="11" customWidth="1" collapsed="1"/>
    <col min="21" max="21" width="21" style="55" customWidth="1" collapsed="1"/>
    <col min="22" max="22" width="28.7109375" bestFit="1" customWidth="1" collapsed="1"/>
    <col min="23" max="23" width="14.7109375" bestFit="1" customWidth="1" collapsed="1"/>
  </cols>
  <sheetData>
    <row r="1" spans="1:23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49" t="s">
        <v>20</v>
      </c>
      <c r="V1" s="1" t="s">
        <v>21</v>
      </c>
      <c r="W1" s="1" t="s">
        <v>22</v>
      </c>
    </row>
    <row r="2" spans="1:23" x14ac:dyDescent="0.25">
      <c r="A2" s="17" t="s">
        <v>33</v>
      </c>
      <c r="B2" s="17" t="s">
        <v>34</v>
      </c>
      <c r="C2" s="18">
        <v>45093</v>
      </c>
      <c r="D2" s="19">
        <v>55000</v>
      </c>
      <c r="E2" s="17" t="s">
        <v>35</v>
      </c>
      <c r="F2" s="17" t="s">
        <v>29</v>
      </c>
      <c r="G2" s="19">
        <v>55000</v>
      </c>
      <c r="H2" s="19">
        <v>16100</v>
      </c>
      <c r="I2" s="20">
        <f t="shared" ref="I2:I4" si="0">H2/G2*100</f>
        <v>29.272727272727273</v>
      </c>
      <c r="J2" s="19">
        <v>42358</v>
      </c>
      <c r="K2" s="19">
        <f>G2-33358</f>
        <v>21642</v>
      </c>
      <c r="L2" s="19">
        <v>9000</v>
      </c>
      <c r="M2" s="21">
        <v>167</v>
      </c>
      <c r="N2" s="22">
        <v>260.83</v>
      </c>
      <c r="O2" s="23">
        <v>1</v>
      </c>
      <c r="P2" s="23">
        <v>1</v>
      </c>
      <c r="Q2" s="19">
        <f t="shared" ref="Q2:Q4" si="1">K2/M2</f>
        <v>129.59281437125748</v>
      </c>
      <c r="R2" s="19">
        <f t="shared" ref="R2:R4" si="2">K2/O2</f>
        <v>21642</v>
      </c>
      <c r="S2" s="24">
        <f t="shared" ref="S2:S4" si="3">K2/O2/43560</f>
        <v>0.496831955922865</v>
      </c>
      <c r="T2" s="23">
        <v>167</v>
      </c>
      <c r="U2" s="50" t="s">
        <v>25</v>
      </c>
      <c r="V2" s="17" t="s">
        <v>26</v>
      </c>
      <c r="W2" s="17" t="s">
        <v>28</v>
      </c>
    </row>
    <row r="3" spans="1:23" x14ac:dyDescent="0.25">
      <c r="A3" s="17" t="s">
        <v>36</v>
      </c>
      <c r="B3" s="17" t="s">
        <v>37</v>
      </c>
      <c r="C3" s="18">
        <v>45667</v>
      </c>
      <c r="D3" s="19">
        <v>140000</v>
      </c>
      <c r="E3" s="17" t="s">
        <v>27</v>
      </c>
      <c r="F3" s="17" t="s">
        <v>29</v>
      </c>
      <c r="G3" s="19">
        <v>140000</v>
      </c>
      <c r="H3" s="19">
        <v>51600</v>
      </c>
      <c r="I3" s="20">
        <f t="shared" si="0"/>
        <v>36.857142857142854</v>
      </c>
      <c r="J3" s="19">
        <v>98045</v>
      </c>
      <c r="K3" s="19">
        <f>G3-89675</f>
        <v>50325</v>
      </c>
      <c r="L3" s="19">
        <v>8370</v>
      </c>
      <c r="M3" s="21">
        <v>180</v>
      </c>
      <c r="N3" s="22">
        <v>225</v>
      </c>
      <c r="O3" s="23">
        <v>0.93</v>
      </c>
      <c r="P3" s="23">
        <v>0.93</v>
      </c>
      <c r="Q3" s="19">
        <f t="shared" si="1"/>
        <v>279.58333333333331</v>
      </c>
      <c r="R3" s="19">
        <f t="shared" si="2"/>
        <v>54112.903225806447</v>
      </c>
      <c r="S3" s="24">
        <f t="shared" si="3"/>
        <v>1.2422613229064841</v>
      </c>
      <c r="T3" s="23">
        <v>180</v>
      </c>
      <c r="U3" s="50" t="s">
        <v>25</v>
      </c>
      <c r="V3" s="17" t="s">
        <v>26</v>
      </c>
      <c r="W3" s="17" t="s">
        <v>28</v>
      </c>
    </row>
    <row r="4" spans="1:23" x14ac:dyDescent="0.25">
      <c r="A4" s="9" t="s">
        <v>38</v>
      </c>
      <c r="B4" s="9" t="s">
        <v>39</v>
      </c>
      <c r="C4" s="10">
        <v>45210</v>
      </c>
      <c r="D4" s="11">
        <v>45000</v>
      </c>
      <c r="E4" s="9" t="s">
        <v>30</v>
      </c>
      <c r="F4" s="9" t="s">
        <v>29</v>
      </c>
      <c r="G4" s="11">
        <v>45000</v>
      </c>
      <c r="H4" s="11">
        <v>14600</v>
      </c>
      <c r="I4" s="12">
        <f t="shared" si="0"/>
        <v>32.444444444444443</v>
      </c>
      <c r="J4" s="11">
        <v>52894</v>
      </c>
      <c r="K4" s="11">
        <f>G4-37894</f>
        <v>7106</v>
      </c>
      <c r="L4" s="11">
        <v>15000</v>
      </c>
      <c r="M4" s="13">
        <v>150</v>
      </c>
      <c r="N4" s="14">
        <v>223.6</v>
      </c>
      <c r="O4" s="15">
        <v>0.77</v>
      </c>
      <c r="P4" s="15">
        <v>0.77</v>
      </c>
      <c r="Q4" s="11">
        <f t="shared" si="1"/>
        <v>47.373333333333335</v>
      </c>
      <c r="R4" s="11">
        <f t="shared" si="2"/>
        <v>9228.5714285714275</v>
      </c>
      <c r="S4" s="16">
        <f t="shared" si="3"/>
        <v>0.21185884822248457</v>
      </c>
      <c r="T4" s="15">
        <v>150</v>
      </c>
      <c r="U4" s="51" t="s">
        <v>25</v>
      </c>
      <c r="V4" s="9" t="s">
        <v>26</v>
      </c>
      <c r="W4" s="9" t="s">
        <v>28</v>
      </c>
    </row>
    <row r="5" spans="1:23" x14ac:dyDescent="0.25">
      <c r="A5" s="17"/>
      <c r="B5" s="17"/>
      <c r="C5" s="18"/>
      <c r="D5" s="19"/>
      <c r="E5" s="17"/>
      <c r="F5" s="17"/>
      <c r="G5" s="19"/>
      <c r="H5" s="19"/>
      <c r="I5" s="20"/>
      <c r="J5" s="19"/>
      <c r="K5" s="19"/>
      <c r="L5" s="19"/>
      <c r="M5" s="21"/>
      <c r="N5" s="22"/>
      <c r="O5" s="23"/>
      <c r="P5" s="23"/>
      <c r="Q5" s="19"/>
      <c r="R5" s="19"/>
      <c r="S5" s="24"/>
      <c r="T5" s="23"/>
      <c r="U5" s="50"/>
      <c r="V5" s="17"/>
      <c r="W5" s="17"/>
    </row>
    <row r="6" spans="1:23" x14ac:dyDescent="0.25">
      <c r="A6" s="33"/>
      <c r="B6" s="33"/>
      <c r="C6" s="34" t="s">
        <v>40</v>
      </c>
      <c r="D6" s="35">
        <f>+SUM(D2:D5)</f>
        <v>240000</v>
      </c>
      <c r="E6" s="33"/>
      <c r="F6" s="33"/>
      <c r="G6" s="35">
        <f>+SUM(G2:G5)</f>
        <v>240000</v>
      </c>
      <c r="H6" s="35">
        <f>+SUM(H2:H5)</f>
        <v>82300</v>
      </c>
      <c r="I6" s="36"/>
      <c r="J6" s="35">
        <f>+SUM(J2:J5)</f>
        <v>193297</v>
      </c>
      <c r="K6" s="35">
        <f>+SUM(K2:K5)</f>
        <v>79073</v>
      </c>
      <c r="L6" s="35">
        <f>+SUM(L2:L5)</f>
        <v>32370</v>
      </c>
      <c r="M6" s="37">
        <f>+SUM(M2:M5)</f>
        <v>497</v>
      </c>
      <c r="N6" s="38"/>
      <c r="O6" s="39">
        <f>+SUM(O2:O5)</f>
        <v>2.7</v>
      </c>
      <c r="P6" s="39">
        <f>+SUM(P2:P5)</f>
        <v>2.7</v>
      </c>
      <c r="Q6" s="35"/>
      <c r="R6" s="35"/>
      <c r="S6" s="40"/>
      <c r="T6" s="39"/>
      <c r="U6" s="52"/>
      <c r="V6" s="33"/>
      <c r="W6" s="33"/>
    </row>
    <row r="7" spans="1:23" x14ac:dyDescent="0.25">
      <c r="A7" s="25"/>
      <c r="B7" s="25"/>
      <c r="C7" s="26"/>
      <c r="D7" s="27"/>
      <c r="E7" s="25"/>
      <c r="F7" s="25"/>
      <c r="G7" s="27"/>
      <c r="H7" s="27" t="s">
        <v>41</v>
      </c>
      <c r="I7" s="28">
        <f>H6/G6*100</f>
        <v>34.291666666666664</v>
      </c>
      <c r="J7" s="27"/>
      <c r="K7" s="27"/>
      <c r="L7" s="27" t="s">
        <v>43</v>
      </c>
      <c r="M7" s="29"/>
      <c r="N7" s="30"/>
      <c r="O7" s="31" t="s">
        <v>43</v>
      </c>
      <c r="P7" s="31"/>
      <c r="Q7" s="27"/>
      <c r="R7" s="27" t="s">
        <v>43</v>
      </c>
      <c r="S7" s="32"/>
      <c r="T7" s="31"/>
      <c r="U7" s="53"/>
      <c r="V7" s="25"/>
      <c r="W7" s="25"/>
    </row>
    <row r="8" spans="1:23" x14ac:dyDescent="0.25">
      <c r="A8" s="41"/>
      <c r="B8" s="41"/>
      <c r="C8" s="42"/>
      <c r="D8" s="43"/>
      <c r="E8" s="41"/>
      <c r="F8" s="41"/>
      <c r="G8" s="43"/>
      <c r="H8" s="43" t="s">
        <v>42</v>
      </c>
      <c r="I8" s="44">
        <f>STDEV(I2:I5)</f>
        <v>3.8090912489271984</v>
      </c>
      <c r="J8" s="43"/>
      <c r="K8" s="43"/>
      <c r="L8" s="43" t="s">
        <v>44</v>
      </c>
      <c r="M8" s="48">
        <f>K6/M6</f>
        <v>159.10060362173039</v>
      </c>
      <c r="N8" s="45"/>
      <c r="O8" s="46" t="s">
        <v>45</v>
      </c>
      <c r="P8" s="46">
        <f>K6/O6</f>
        <v>29286.296296296296</v>
      </c>
      <c r="Q8" s="43"/>
      <c r="R8" s="43" t="s">
        <v>46</v>
      </c>
      <c r="S8" s="47">
        <f>K6/O6/43560</f>
        <v>0.67232085161378086</v>
      </c>
      <c r="T8" s="46"/>
      <c r="U8" s="54"/>
      <c r="V8" s="41"/>
      <c r="W8" s="41"/>
    </row>
    <row r="10" spans="1:23" x14ac:dyDescent="0.25">
      <c r="M10" t="s">
        <v>67</v>
      </c>
      <c r="O10" s="56" t="s">
        <v>68</v>
      </c>
      <c r="R10" t="s">
        <v>69</v>
      </c>
    </row>
    <row r="11" spans="1:23" x14ac:dyDescent="0.25">
      <c r="A11" t="s">
        <v>47</v>
      </c>
    </row>
    <row r="12" spans="1:23" x14ac:dyDescent="0.25">
      <c r="A12" s="1" t="s">
        <v>0</v>
      </c>
      <c r="B12" s="1" t="s">
        <v>1</v>
      </c>
      <c r="C12" s="2" t="s">
        <v>2</v>
      </c>
      <c r="D12" s="3" t="s">
        <v>3</v>
      </c>
      <c r="E12" s="1" t="s">
        <v>4</v>
      </c>
      <c r="F12" s="1" t="s">
        <v>5</v>
      </c>
      <c r="G12" s="3" t="s">
        <v>6</v>
      </c>
      <c r="H12" s="3" t="s">
        <v>7</v>
      </c>
      <c r="I12" s="4" t="s">
        <v>8</v>
      </c>
      <c r="J12" s="3" t="s">
        <v>9</v>
      </c>
      <c r="K12" s="3" t="s">
        <v>10</v>
      </c>
      <c r="L12" s="3" t="s">
        <v>11</v>
      </c>
      <c r="M12" s="5" t="s">
        <v>12</v>
      </c>
      <c r="N12" s="6" t="s">
        <v>13</v>
      </c>
      <c r="O12" s="7" t="s">
        <v>14</v>
      </c>
      <c r="P12" s="7" t="s">
        <v>15</v>
      </c>
      <c r="Q12" s="3" t="s">
        <v>16</v>
      </c>
      <c r="R12" s="3" t="s">
        <v>17</v>
      </c>
      <c r="S12" s="8" t="s">
        <v>18</v>
      </c>
      <c r="T12" s="7" t="s">
        <v>19</v>
      </c>
      <c r="U12" s="49" t="s">
        <v>20</v>
      </c>
      <c r="V12" s="1" t="s">
        <v>21</v>
      </c>
      <c r="W12" s="1" t="s">
        <v>22</v>
      </c>
    </row>
    <row r="13" spans="1:23" x14ac:dyDescent="0.25">
      <c r="A13" s="17" t="s">
        <v>48</v>
      </c>
      <c r="B13" s="17" t="s">
        <v>49</v>
      </c>
      <c r="C13" s="18">
        <v>45889</v>
      </c>
      <c r="D13" s="19">
        <v>21000</v>
      </c>
      <c r="E13" s="17" t="s">
        <v>27</v>
      </c>
      <c r="F13" s="17" t="s">
        <v>29</v>
      </c>
      <c r="G13" s="19">
        <v>21000</v>
      </c>
      <c r="H13" s="19">
        <v>8800</v>
      </c>
      <c r="I13" s="20">
        <f t="shared" ref="I13:I16" si="4">H13/G13*100</f>
        <v>41.904761904761905</v>
      </c>
      <c r="J13" s="19">
        <v>17500</v>
      </c>
      <c r="K13" s="19">
        <f>G13-0</f>
        <v>21000</v>
      </c>
      <c r="L13" s="19">
        <v>17500</v>
      </c>
      <c r="M13" s="21">
        <v>175</v>
      </c>
      <c r="N13" s="22">
        <v>0</v>
      </c>
      <c r="O13" s="23">
        <v>0</v>
      </c>
      <c r="P13" s="23">
        <v>0</v>
      </c>
      <c r="Q13" s="19">
        <f t="shared" ref="Q13:Q16" si="5">K13/M13</f>
        <v>120</v>
      </c>
      <c r="R13" s="19" t="e">
        <f t="shared" ref="R13:R16" si="6">K13/O13</f>
        <v>#DIV/0!</v>
      </c>
      <c r="S13" s="24" t="e">
        <f t="shared" ref="S13:S16" si="7">K13/O13/43560</f>
        <v>#DIV/0!</v>
      </c>
      <c r="T13" s="23">
        <v>175</v>
      </c>
      <c r="U13" s="50" t="s">
        <v>25</v>
      </c>
      <c r="V13" s="17" t="s">
        <v>50</v>
      </c>
      <c r="W13" s="17" t="s">
        <v>28</v>
      </c>
    </row>
    <row r="14" spans="1:23" x14ac:dyDescent="0.25">
      <c r="A14" s="9" t="s">
        <v>51</v>
      </c>
      <c r="B14" s="9" t="s">
        <v>52</v>
      </c>
      <c r="C14" s="10">
        <v>45469</v>
      </c>
      <c r="D14" s="11">
        <v>60000</v>
      </c>
      <c r="E14" s="9" t="s">
        <v>27</v>
      </c>
      <c r="F14" s="9" t="s">
        <v>29</v>
      </c>
      <c r="G14" s="11">
        <v>60000</v>
      </c>
      <c r="H14" s="11">
        <v>20100</v>
      </c>
      <c r="I14" s="12">
        <f t="shared" si="4"/>
        <v>33.5</v>
      </c>
      <c r="J14" s="11">
        <v>58177</v>
      </c>
      <c r="K14" s="11">
        <f>G14-50177</f>
        <v>9823</v>
      </c>
      <c r="L14" s="11">
        <v>8000</v>
      </c>
      <c r="M14" s="13">
        <v>80</v>
      </c>
      <c r="N14" s="14">
        <v>103</v>
      </c>
      <c r="O14" s="15">
        <v>0.189</v>
      </c>
      <c r="P14" s="15">
        <v>0.189</v>
      </c>
      <c r="Q14" s="11">
        <f t="shared" si="5"/>
        <v>122.78749999999999</v>
      </c>
      <c r="R14" s="11">
        <f t="shared" si="6"/>
        <v>51973.544973544973</v>
      </c>
      <c r="S14" s="16">
        <f t="shared" si="7"/>
        <v>1.1931484153706375</v>
      </c>
      <c r="T14" s="15">
        <v>80</v>
      </c>
      <c r="U14" s="51" t="s">
        <v>25</v>
      </c>
      <c r="V14" s="9" t="s">
        <v>50</v>
      </c>
      <c r="W14" s="9" t="s">
        <v>28</v>
      </c>
    </row>
    <row r="15" spans="1:23" x14ac:dyDescent="0.25">
      <c r="A15" s="9" t="s">
        <v>53</v>
      </c>
      <c r="B15" s="9" t="s">
        <v>54</v>
      </c>
      <c r="C15" s="10">
        <v>45967</v>
      </c>
      <c r="D15" s="11">
        <v>37000</v>
      </c>
      <c r="E15" s="9" t="s">
        <v>27</v>
      </c>
      <c r="F15" s="9" t="s">
        <v>29</v>
      </c>
      <c r="G15" s="11">
        <v>37000</v>
      </c>
      <c r="H15" s="11">
        <v>29400</v>
      </c>
      <c r="I15" s="12">
        <f t="shared" si="4"/>
        <v>79.459459459459453</v>
      </c>
      <c r="J15" s="11">
        <v>35841</v>
      </c>
      <c r="K15" s="11">
        <f>G15-17841</f>
        <v>19159</v>
      </c>
      <c r="L15" s="11">
        <v>18000</v>
      </c>
      <c r="M15" s="13">
        <v>180</v>
      </c>
      <c r="N15" s="14">
        <v>200</v>
      </c>
      <c r="O15" s="15">
        <v>0.82599999999999996</v>
      </c>
      <c r="P15" s="15">
        <v>0.82599999999999996</v>
      </c>
      <c r="Q15" s="11">
        <f t="shared" si="5"/>
        <v>106.43888888888888</v>
      </c>
      <c r="R15" s="11">
        <f t="shared" si="6"/>
        <v>23194.91525423729</v>
      </c>
      <c r="S15" s="16">
        <f t="shared" si="7"/>
        <v>0.53248198471619124</v>
      </c>
      <c r="T15" s="15">
        <v>180</v>
      </c>
      <c r="U15" s="51" t="s">
        <v>25</v>
      </c>
      <c r="V15" s="9" t="s">
        <v>50</v>
      </c>
      <c r="W15" s="9" t="s">
        <v>28</v>
      </c>
    </row>
    <row r="16" spans="1:23" x14ac:dyDescent="0.25">
      <c r="A16" s="17" t="s">
        <v>55</v>
      </c>
      <c r="B16" s="17" t="s">
        <v>56</v>
      </c>
      <c r="C16" s="18">
        <v>45972</v>
      </c>
      <c r="D16" s="19">
        <v>10000</v>
      </c>
      <c r="E16" s="17" t="s">
        <v>27</v>
      </c>
      <c r="F16" s="17" t="s">
        <v>29</v>
      </c>
      <c r="G16" s="19">
        <v>10000</v>
      </c>
      <c r="H16" s="19">
        <v>3800</v>
      </c>
      <c r="I16" s="20">
        <f t="shared" si="4"/>
        <v>38</v>
      </c>
      <c r="J16" s="19">
        <v>7748</v>
      </c>
      <c r="K16" s="19">
        <f>G16-1748</f>
        <v>8252</v>
      </c>
      <c r="L16" s="19">
        <v>6000</v>
      </c>
      <c r="M16" s="21">
        <v>60</v>
      </c>
      <c r="N16" s="22">
        <v>208</v>
      </c>
      <c r="O16" s="23">
        <v>0.28699999999999998</v>
      </c>
      <c r="P16" s="23">
        <v>0.28699999999999998</v>
      </c>
      <c r="Q16" s="19">
        <f t="shared" si="5"/>
        <v>137.53333333333333</v>
      </c>
      <c r="R16" s="19">
        <f t="shared" si="6"/>
        <v>28752.613240418119</v>
      </c>
      <c r="S16" s="24">
        <f t="shared" si="7"/>
        <v>0.6600691744815913</v>
      </c>
      <c r="T16" s="23">
        <v>60</v>
      </c>
      <c r="U16" s="50" t="s">
        <v>25</v>
      </c>
      <c r="V16" s="17" t="s">
        <v>50</v>
      </c>
      <c r="W16" s="17" t="s">
        <v>28</v>
      </c>
    </row>
    <row r="18" spans="1:23" x14ac:dyDescent="0.25">
      <c r="A18" s="1" t="s">
        <v>0</v>
      </c>
      <c r="B18" s="1" t="s">
        <v>1</v>
      </c>
      <c r="C18" s="2" t="s">
        <v>2</v>
      </c>
      <c r="D18" s="3" t="s">
        <v>3</v>
      </c>
      <c r="E18" s="1" t="s">
        <v>4</v>
      </c>
      <c r="F18" s="1" t="s">
        <v>5</v>
      </c>
      <c r="G18" s="3" t="s">
        <v>6</v>
      </c>
      <c r="H18" s="3" t="s">
        <v>7</v>
      </c>
      <c r="I18" s="4" t="s">
        <v>8</v>
      </c>
      <c r="J18" s="3" t="s">
        <v>9</v>
      </c>
      <c r="K18" s="3" t="s">
        <v>10</v>
      </c>
      <c r="L18" s="3" t="s">
        <v>11</v>
      </c>
      <c r="M18" s="5" t="s">
        <v>12</v>
      </c>
      <c r="N18" s="6" t="s">
        <v>13</v>
      </c>
      <c r="O18" s="7" t="s">
        <v>14</v>
      </c>
      <c r="P18" s="7" t="s">
        <v>15</v>
      </c>
      <c r="Q18" s="3" t="s">
        <v>16</v>
      </c>
      <c r="R18" s="3" t="s">
        <v>17</v>
      </c>
      <c r="S18" s="8" t="s">
        <v>18</v>
      </c>
      <c r="T18" s="7" t="s">
        <v>19</v>
      </c>
      <c r="U18" s="49" t="s">
        <v>20</v>
      </c>
      <c r="V18" s="1" t="s">
        <v>21</v>
      </c>
      <c r="W18" s="1" t="s">
        <v>22</v>
      </c>
    </row>
    <row r="19" spans="1:23" x14ac:dyDescent="0.25">
      <c r="A19" s="17" t="s">
        <v>57</v>
      </c>
      <c r="B19" s="17" t="s">
        <v>58</v>
      </c>
      <c r="C19" s="18">
        <v>45128</v>
      </c>
      <c r="D19" s="19">
        <v>13000</v>
      </c>
      <c r="E19" s="17" t="s">
        <v>30</v>
      </c>
      <c r="F19" s="17" t="s">
        <v>24</v>
      </c>
      <c r="G19" s="19">
        <v>13000</v>
      </c>
      <c r="H19" s="19">
        <v>3500</v>
      </c>
      <c r="I19" s="20">
        <f>H19/G19*100</f>
        <v>26.923076923076923</v>
      </c>
      <c r="J19" s="19">
        <v>8877</v>
      </c>
      <c r="K19" s="19">
        <f>G19-4437</f>
        <v>8563</v>
      </c>
      <c r="L19" s="19">
        <v>4440</v>
      </c>
      <c r="M19" s="21">
        <v>120</v>
      </c>
      <c r="N19" s="22">
        <v>180</v>
      </c>
      <c r="O19" s="23">
        <v>0.248</v>
      </c>
      <c r="P19" s="23">
        <v>0.16500000000000001</v>
      </c>
      <c r="Q19" s="19">
        <f>K19/M19</f>
        <v>71.358333333333334</v>
      </c>
      <c r="R19" s="19">
        <f>K19/O19</f>
        <v>34528.225806451614</v>
      </c>
      <c r="S19" s="24">
        <f>K19/O19/43560</f>
        <v>0.79265899463846679</v>
      </c>
      <c r="T19" s="23">
        <v>120</v>
      </c>
      <c r="U19" s="50" t="s">
        <v>59</v>
      </c>
      <c r="V19" s="17" t="s">
        <v>60</v>
      </c>
      <c r="W19" s="17" t="s">
        <v>28</v>
      </c>
    </row>
    <row r="20" spans="1:23" x14ac:dyDescent="0.25">
      <c r="A20" s="9" t="s">
        <v>61</v>
      </c>
      <c r="B20" s="9" t="s">
        <v>62</v>
      </c>
      <c r="C20" s="10">
        <v>45458</v>
      </c>
      <c r="D20" s="11">
        <v>12850</v>
      </c>
      <c r="E20" s="9" t="s">
        <v>30</v>
      </c>
      <c r="F20" s="9" t="s">
        <v>29</v>
      </c>
      <c r="G20" s="11">
        <v>12850</v>
      </c>
      <c r="H20" s="11">
        <v>2600</v>
      </c>
      <c r="I20" s="12">
        <f t="shared" ref="I20:I22" si="8">H20/G20*100</f>
        <v>20.233463035019454</v>
      </c>
      <c r="J20" s="11">
        <v>8000</v>
      </c>
      <c r="K20" s="11">
        <f>G20-0</f>
        <v>12850</v>
      </c>
      <c r="L20" s="11">
        <v>8000</v>
      </c>
      <c r="M20" s="13">
        <v>80</v>
      </c>
      <c r="N20" s="14">
        <v>90</v>
      </c>
      <c r="O20" s="15">
        <v>0.16500000000000001</v>
      </c>
      <c r="P20" s="15">
        <v>0.16500000000000001</v>
      </c>
      <c r="Q20" s="11">
        <f t="shared" ref="Q20:Q22" si="9">K20/M20</f>
        <v>160.625</v>
      </c>
      <c r="R20" s="11">
        <f t="shared" ref="R20:R22" si="10">K20/O20</f>
        <v>77878.787878787873</v>
      </c>
      <c r="S20" s="16">
        <f t="shared" ref="S20:S22" si="11">K20/O20/43560</f>
        <v>1.7878509614046803</v>
      </c>
      <c r="T20" s="15">
        <v>80</v>
      </c>
      <c r="U20" s="51" t="s">
        <v>25</v>
      </c>
      <c r="V20" s="9" t="s">
        <v>60</v>
      </c>
      <c r="W20" s="9" t="s">
        <v>28</v>
      </c>
    </row>
    <row r="21" spans="1:23" ht="30" x14ac:dyDescent="0.25">
      <c r="A21" s="17" t="s">
        <v>63</v>
      </c>
      <c r="B21" s="17" t="s">
        <v>64</v>
      </c>
      <c r="C21" s="18">
        <v>45541</v>
      </c>
      <c r="D21" s="19">
        <v>80000</v>
      </c>
      <c r="E21" s="17" t="s">
        <v>27</v>
      </c>
      <c r="F21" s="17" t="s">
        <v>24</v>
      </c>
      <c r="G21" s="19">
        <v>80000</v>
      </c>
      <c r="H21" s="19">
        <v>36700</v>
      </c>
      <c r="I21" s="20">
        <f t="shared" si="8"/>
        <v>45.875</v>
      </c>
      <c r="J21" s="19">
        <v>72402</v>
      </c>
      <c r="K21" s="19">
        <f>G21-59597</f>
        <v>20403</v>
      </c>
      <c r="L21" s="19">
        <v>12805</v>
      </c>
      <c r="M21" s="21">
        <v>197</v>
      </c>
      <c r="N21" s="22">
        <v>235.5</v>
      </c>
      <c r="O21" s="23">
        <v>0.35599999999999998</v>
      </c>
      <c r="P21" s="23">
        <v>8.6999999999999994E-2</v>
      </c>
      <c r="Q21" s="19">
        <f t="shared" si="9"/>
        <v>103.56852791878173</v>
      </c>
      <c r="R21" s="19">
        <f t="shared" si="10"/>
        <v>57311.79775280899</v>
      </c>
      <c r="S21" s="24">
        <f t="shared" si="11"/>
        <v>1.3156978363822083</v>
      </c>
      <c r="T21" s="23">
        <v>197</v>
      </c>
      <c r="U21" s="50" t="s">
        <v>65</v>
      </c>
      <c r="V21" s="17" t="s">
        <v>60</v>
      </c>
      <c r="W21" s="17" t="s">
        <v>28</v>
      </c>
    </row>
    <row r="22" spans="1:23" x14ac:dyDescent="0.25">
      <c r="A22" s="9" t="s">
        <v>32</v>
      </c>
      <c r="B22" s="9" t="s">
        <v>66</v>
      </c>
      <c r="C22" s="10">
        <v>45838</v>
      </c>
      <c r="D22" s="11">
        <v>140000</v>
      </c>
      <c r="E22" s="9" t="s">
        <v>23</v>
      </c>
      <c r="F22" s="9" t="s">
        <v>29</v>
      </c>
      <c r="G22" s="11">
        <v>140000</v>
      </c>
      <c r="H22" s="11">
        <v>58400</v>
      </c>
      <c r="I22" s="12">
        <f t="shared" si="8"/>
        <v>41.714285714285715</v>
      </c>
      <c r="J22" s="11">
        <v>115642</v>
      </c>
      <c r="K22" s="11">
        <f>G22-71642</f>
        <v>68358</v>
      </c>
      <c r="L22" s="11">
        <v>44000</v>
      </c>
      <c r="M22" s="13">
        <v>440</v>
      </c>
      <c r="N22" s="14">
        <v>90</v>
      </c>
      <c r="O22" s="15">
        <v>0.90900000000000003</v>
      </c>
      <c r="P22" s="15">
        <v>0.90900000000000003</v>
      </c>
      <c r="Q22" s="11">
        <f t="shared" si="9"/>
        <v>155.3590909090909</v>
      </c>
      <c r="R22" s="11">
        <f t="shared" si="10"/>
        <v>75201.320132013192</v>
      </c>
      <c r="S22" s="16">
        <f t="shared" si="11"/>
        <v>1.7263847596880899</v>
      </c>
      <c r="T22" s="15">
        <v>440</v>
      </c>
      <c r="U22" s="51" t="s">
        <v>31</v>
      </c>
      <c r="V22" s="9" t="s">
        <v>60</v>
      </c>
      <c r="W22" s="9" t="s">
        <v>28</v>
      </c>
    </row>
  </sheetData>
  <pageMargins left="0.25" right="0.25" top="0.75" bottom="0.75" header="0.3" footer="0.3"/>
  <pageSetup paperSize="5" orientation="landscape" r:id="rId1"/>
  <headerFooter>
    <oddHeader>&amp;LResidential 
Front Foot Rate&amp;CHay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