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215B98D7-3A9F-449F-B7FF-56BE9CC1B97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ime R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6" i="1" l="1"/>
  <c r="O26" i="1"/>
  <c r="M26" i="1"/>
  <c r="L26" i="1"/>
  <c r="J26" i="1"/>
  <c r="H26" i="1"/>
  <c r="G26" i="1"/>
  <c r="D26" i="1"/>
  <c r="K24" i="1"/>
  <c r="R24" i="1" s="1"/>
  <c r="I24" i="1"/>
  <c r="K23" i="1"/>
  <c r="Q23" i="1" s="1"/>
  <c r="I23" i="1"/>
  <c r="K22" i="1"/>
  <c r="R22" i="1" s="1"/>
  <c r="I22" i="1"/>
  <c r="K21" i="1"/>
  <c r="S21" i="1" s="1"/>
  <c r="I21" i="1"/>
  <c r="K20" i="1"/>
  <c r="S20" i="1" s="1"/>
  <c r="I20" i="1"/>
  <c r="K19" i="1"/>
  <c r="Q19" i="1" s="1"/>
  <c r="I19" i="1"/>
  <c r="K18" i="1"/>
  <c r="S18" i="1" s="1"/>
  <c r="I18" i="1"/>
  <c r="K17" i="1"/>
  <c r="S17" i="1" s="1"/>
  <c r="I17" i="1"/>
  <c r="K16" i="1"/>
  <c r="R16" i="1" s="1"/>
  <c r="I16" i="1"/>
  <c r="K15" i="1"/>
  <c r="S15" i="1" s="1"/>
  <c r="I15" i="1"/>
  <c r="K14" i="1"/>
  <c r="Q14" i="1" s="1"/>
  <c r="I14" i="1"/>
  <c r="K13" i="1"/>
  <c r="Q13" i="1" s="1"/>
  <c r="I13" i="1"/>
  <c r="K12" i="1"/>
  <c r="S12" i="1" s="1"/>
  <c r="I12" i="1"/>
  <c r="K11" i="1"/>
  <c r="Q11" i="1" s="1"/>
  <c r="I11" i="1"/>
  <c r="K10" i="1"/>
  <c r="S10" i="1" s="1"/>
  <c r="I10" i="1"/>
  <c r="K9" i="1"/>
  <c r="S9" i="1" s="1"/>
  <c r="I9" i="1"/>
  <c r="K8" i="1"/>
  <c r="S8" i="1" s="1"/>
  <c r="I8" i="1"/>
  <c r="K7" i="1"/>
  <c r="Q7" i="1" s="1"/>
  <c r="I7" i="1"/>
  <c r="K6" i="1"/>
  <c r="R6" i="1" s="1"/>
  <c r="I6" i="1"/>
  <c r="K5" i="1"/>
  <c r="S5" i="1" s="1"/>
  <c r="I5" i="1"/>
  <c r="K4" i="1"/>
  <c r="S4" i="1" s="1"/>
  <c r="I4" i="1"/>
  <c r="K3" i="1"/>
  <c r="Q3" i="1" s="1"/>
  <c r="I3" i="1"/>
  <c r="K2" i="1"/>
  <c r="Q2" i="1" s="1"/>
  <c r="I2" i="1"/>
  <c r="I27" i="1" l="1"/>
  <c r="R7" i="1"/>
  <c r="S7" i="1"/>
  <c r="S22" i="1"/>
  <c r="S13" i="1"/>
  <c r="R19" i="1"/>
  <c r="S19" i="1"/>
  <c r="R13" i="1"/>
  <c r="R2" i="1"/>
  <c r="S2" i="1"/>
  <c r="S6" i="1"/>
  <c r="Q12" i="1"/>
  <c r="Q6" i="1"/>
  <c r="R12" i="1"/>
  <c r="I28" i="1"/>
  <c r="Q10" i="1"/>
  <c r="Q21" i="1"/>
  <c r="Q8" i="1"/>
  <c r="Q18" i="1"/>
  <c r="R21" i="1"/>
  <c r="Q24" i="1"/>
  <c r="R4" i="1"/>
  <c r="R9" i="1"/>
  <c r="S11" i="1"/>
  <c r="R14" i="1"/>
  <c r="S16" i="1"/>
  <c r="Q17" i="1"/>
  <c r="R20" i="1"/>
  <c r="S23" i="1"/>
  <c r="Q15" i="1"/>
  <c r="R3" i="1"/>
  <c r="R8" i="1"/>
  <c r="Q16" i="1"/>
  <c r="S3" i="1"/>
  <c r="Q9" i="1"/>
  <c r="R11" i="1"/>
  <c r="Q20" i="1"/>
  <c r="R23" i="1"/>
  <c r="S24" i="1"/>
  <c r="S14" i="1"/>
  <c r="R17" i="1"/>
  <c r="Q22" i="1"/>
  <c r="K26" i="1"/>
  <c r="Q5" i="1"/>
  <c r="R5" i="1"/>
  <c r="R10" i="1"/>
  <c r="R15" i="1"/>
  <c r="R18" i="1"/>
  <c r="Q4" i="1"/>
  <c r="S28" i="1" l="1"/>
  <c r="P28" i="1"/>
  <c r="M28" i="1"/>
</calcChain>
</file>

<file path=xl/sharedStrings.xml><?xml version="1.0" encoding="utf-8"?>
<sst xmlns="http://schemas.openxmlformats.org/spreadsheetml/2006/main" count="195" uniqueCount="85">
  <si>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</si>
  <si>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</si>
  <si>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</si>
  <si>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</si>
  <si>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</si>
  <si>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</si>
  <si>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</si>
  <si>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</si>
  <si>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</si>
  <si>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</si>
  <si>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</si>
  <si>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</si>
  <si>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</si>
  <si>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</si>
  <si>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</si>
  <si>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</si>
  <si>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</si>
  <si>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</si>
  <si>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</si>
  <si>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</si>
  <si>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Other Parcels in Sale</t>
  </si>
  <si>
    <t>Land Table</t>
  </si>
  <si>
    <t>Rate Group 1</t>
  </si>
  <si>
    <t>WD</t>
  </si>
  <si>
    <t>03-ARM'S LENGTH</t>
  </si>
  <si>
    <t/>
  </si>
  <si>
    <t>FORMERLY SMALLWOOD LAKE</t>
  </si>
  <si>
    <t>19-MULTI PARCEL ARM'S LENGTH</t>
  </si>
  <si>
    <t>110-009-400-023-10</t>
  </si>
  <si>
    <t>300 ASH ST</t>
  </si>
  <si>
    <t>PRIME RATE</t>
  </si>
  <si>
    <t>110-015-200-007-00</t>
  </si>
  <si>
    <t>110-015-200-007-01</t>
  </si>
  <si>
    <t>BUSHONG BEACH DR</t>
  </si>
  <si>
    <t>110-015-200-040-10</t>
  </si>
  <si>
    <t>625 E SUN OIL RD</t>
  </si>
  <si>
    <t>110-016-100-010-04</t>
  </si>
  <si>
    <t>555 WHITE RD</t>
  </si>
  <si>
    <t>110-016-100-011-00</t>
  </si>
  <si>
    <t>607 WHITE RD</t>
  </si>
  <si>
    <t>110-016-100-024-00</t>
  </si>
  <si>
    <t>459 E SUN OIL RD</t>
  </si>
  <si>
    <t>110-080-000-021-00</t>
  </si>
  <si>
    <t>444 LAKEWOODS DR</t>
  </si>
  <si>
    <t>110-170-000-003-00</t>
  </si>
  <si>
    <t>234 ARBUTUS ST</t>
  </si>
  <si>
    <t>110-171-000-011-00</t>
  </si>
  <si>
    <t>555 LAKEVIEW DR</t>
  </si>
  <si>
    <t>110-180-000-007-00</t>
  </si>
  <si>
    <t>213 DENNIS ST</t>
  </si>
  <si>
    <t>110-220-000-034-00</t>
  </si>
  <si>
    <t>164 LOCKWOOD DR</t>
  </si>
  <si>
    <t>110-250-000-019-00</t>
  </si>
  <si>
    <t>376 LAUREL DR</t>
  </si>
  <si>
    <t>110-250-000-014-00</t>
  </si>
  <si>
    <t>110-250-000-054-00</t>
  </si>
  <si>
    <t>510 LAUREL DR</t>
  </si>
  <si>
    <t>110-265-000-002-00</t>
  </si>
  <si>
    <t>434 LAUREL DR</t>
  </si>
  <si>
    <t>110-273-000-050-10</t>
  </si>
  <si>
    <t>946 RIVERS TERRACE</t>
  </si>
  <si>
    <t>110-273-000-052-10</t>
  </si>
  <si>
    <t>960 RIVERS TERRACE</t>
  </si>
  <si>
    <t>110-277-000-132-00</t>
  </si>
  <si>
    <t>511 RIVERS TERRACE</t>
  </si>
  <si>
    <t>110-280-000-006-00</t>
  </si>
  <si>
    <t>RIVER OAKS POINT</t>
  </si>
  <si>
    <t>110-280-000-010-01</t>
  </si>
  <si>
    <t>191 RIVER OAKS POINT</t>
  </si>
  <si>
    <t>110-290-000-006-00</t>
  </si>
  <si>
    <t>267 EDWARD ST</t>
  </si>
  <si>
    <t>110-290-000-009-00</t>
  </si>
  <si>
    <t>264 FLYNN ST</t>
  </si>
  <si>
    <t>110-290-000-026-00, 110-290-000-027-00</t>
  </si>
  <si>
    <t>110-420-005-001-00</t>
  </si>
  <si>
    <t>99 LAKEVIEW DR</t>
  </si>
  <si>
    <t>Totals:</t>
  </si>
  <si>
    <t>Sale. Ratio =&gt;</t>
  </si>
  <si>
    <t>Std. Dev. =&gt;</t>
  </si>
  <si>
    <t>Average</t>
  </si>
  <si>
    <t>per FF=&gt;</t>
  </si>
  <si>
    <t>per Net Acre=&gt;</t>
  </si>
  <si>
    <t>per SqFt=&gt;</t>
  </si>
  <si>
    <t>$625/ff in 2025</t>
  </si>
  <si>
    <t>Used $625/ff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</si>
</sst>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\$#,##0_);[Red]\(\$#,##0\)"/>
    <numFmt numFmtId="165" formatCode="#0.00_);[Red]\(#0.00\)"/>
    <numFmt numFmtId="166" formatCode="#,##0.0_);[Red]\(#,##0.0\)"/>
    <numFmt numFmtId="167" formatCode="#0.0_);[Red]\(#0.0\)"/>
    <numFmt numFmtId="168" formatCode="\$#,##0.00_);[Red]\(\$#,##0.00\)"/>
    <numFmt numFmtId="169" formatCode="\$#,##0_);[Red]\(\$#,##0.00\)"/>
  </numFmts>
  <fonts count="4" x14ac:knownFonts="1">
    <font>
      <b/>
      <sz val="11"/>
      <color indexed="8"/>
      <name val="Aptos Narrow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</patternFill>
    </fill>
    <fill>
      <patternFill patternType="solid">
        <fgColor rgb="FFA7E4CD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167" fontId="1" fillId="2" borderId="1" xfId="0" applyNumberFormat="1" applyFont="1" applyFill="1" applyBorder="1" applyAlignment="1">
      <alignment horizontal="center"/>
    </xf>
    <xf numFmtId="40" fontId="1" fillId="2" borderId="1" xfId="0" applyNumberFormat="1" applyFont="1" applyFill="1" applyBorder="1" applyAlignment="1">
      <alignment horizontal="center"/>
    </xf>
    <xf numFmtId="168" fontId="1" fillId="2" borderId="1" xfId="0" applyNumberFormat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/>
    <xf numFmtId="164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167" fontId="0" fillId="3" borderId="1" xfId="0" applyNumberFormat="1" applyFill="1" applyBorder="1"/>
    <xf numFmtId="40" fontId="0" fillId="3" borderId="1" xfId="0" applyNumberFormat="1" applyFill="1" applyBorder="1"/>
    <xf numFmtId="168" fontId="0" fillId="3" borderId="1" xfId="0" applyNumberFormat="1" applyFill="1" applyBorder="1"/>
    <xf numFmtId="0" fontId="0" fillId="4" borderId="1" xfId="0" applyFill="1" applyBorder="1"/>
    <xf numFmtId="14" fontId="0" fillId="4" borderId="1" xfId="0" applyNumberFormat="1" applyFill="1" applyBorder="1"/>
    <xf numFmtId="164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167" fontId="0" fillId="4" borderId="1" xfId="0" applyNumberFormat="1" applyFill="1" applyBorder="1"/>
    <xf numFmtId="40" fontId="0" fillId="4" borderId="1" xfId="0" applyNumberFormat="1" applyFill="1" applyBorder="1"/>
    <xf numFmtId="168" fontId="0" fillId="4" borderId="1" xfId="0" applyNumberFormat="1" applyFill="1" applyBorder="1"/>
    <xf numFmtId="0" fontId="2" fillId="4" borderId="1" xfId="0" applyFont="1" applyFill="1" applyBorder="1"/>
    <xf numFmtId="14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167" fontId="2" fillId="4" borderId="1" xfId="0" applyNumberFormat="1" applyFont="1" applyFill="1" applyBorder="1"/>
    <xf numFmtId="40" fontId="2" fillId="4" borderId="1" xfId="0" applyNumberFormat="1" applyFont="1" applyFill="1" applyBorder="1"/>
    <xf numFmtId="168" fontId="2" fillId="4" borderId="1" xfId="0" applyNumberFormat="1" applyFont="1" applyFill="1" applyBorder="1"/>
    <xf numFmtId="0" fontId="2" fillId="4" borderId="2" xfId="0" applyFont="1" applyFill="1" applyBorder="1"/>
    <xf numFmtId="14" fontId="2" fillId="4" borderId="2" xfId="0" applyNumberFormat="1" applyFont="1" applyFill="1" applyBorder="1"/>
    <xf numFmtId="164" fontId="2" fillId="4" borderId="2" xfId="0" applyNumberFormat="1" applyFont="1" applyFill="1" applyBorder="1"/>
    <xf numFmtId="165" fontId="2" fillId="4" borderId="2" xfId="0" applyNumberFormat="1" applyFont="1" applyFill="1" applyBorder="1"/>
    <xf numFmtId="166" fontId="2" fillId="4" borderId="2" xfId="0" applyNumberFormat="1" applyFont="1" applyFill="1" applyBorder="1"/>
    <xf numFmtId="167" fontId="2" fillId="4" borderId="2" xfId="0" applyNumberFormat="1" applyFont="1" applyFill="1" applyBorder="1"/>
    <xf numFmtId="40" fontId="2" fillId="4" borderId="2" xfId="0" applyNumberFormat="1" applyFont="1" applyFill="1" applyBorder="1"/>
    <xf numFmtId="168" fontId="2" fillId="4" borderId="2" xfId="0" applyNumberFormat="1" applyFont="1" applyFill="1" applyBorder="1"/>
    <xf numFmtId="0" fontId="2" fillId="4" borderId="3" xfId="0" applyFont="1" applyFill="1" applyBorder="1"/>
    <xf numFmtId="14" fontId="2" fillId="4" borderId="3" xfId="0" applyNumberFormat="1" applyFont="1" applyFill="1" applyBorder="1"/>
    <xf numFmtId="164" fontId="2" fillId="4" borderId="3" xfId="0" applyNumberFormat="1" applyFont="1" applyFill="1" applyBorder="1"/>
    <xf numFmtId="165" fontId="2" fillId="4" borderId="3" xfId="0" applyNumberFormat="1" applyFont="1" applyFill="1" applyBorder="1"/>
    <xf numFmtId="167" fontId="2" fillId="4" borderId="3" xfId="0" applyNumberFormat="1" applyFont="1" applyFill="1" applyBorder="1"/>
    <xf numFmtId="40" fontId="2" fillId="4" borderId="3" xfId="0" applyNumberFormat="1" applyFont="1" applyFill="1" applyBorder="1"/>
    <xf numFmtId="168" fontId="2" fillId="4" borderId="3" xfId="0" applyNumberFormat="1" applyFont="1" applyFill="1" applyBorder="1"/>
    <xf numFmtId="169" fontId="2" fillId="4" borderId="3" xfId="0" applyNumberFormat="1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"/>
  <sheetViews>
    <sheetView tabSelected="1" view="pageLayout" topLeftCell="H14" zoomScaleNormal="100" workbookViewId="0">
      <selection activeCell="O31" sqref="O31"/>
    </sheetView>
  </sheetViews>
  <sheetFormatPr defaultRowHeight="15" x14ac:dyDescent="0.25"/>
  <cols>
    <col min="1" max="1" width="17.140625" customWidth="1" collapsed="1"/>
    <col min="2" max="2" width="23.140625" customWidth="1" collapsed="1"/>
    <col min="3" max="3" width="13.7109375" bestFit="1" customWidth="1" collapsed="1"/>
    <col min="4" max="4" width="11.7109375" bestFit="1" customWidth="1" collapsed="1"/>
    <col min="5" max="5" width="7.7109375" bestFit="1" customWidth="1" collapsed="1"/>
    <col min="6" max="6" width="29.85546875" customWidth="1" collapsed="1"/>
    <col min="7" max="7" width="12.7109375" bestFit="1" customWidth="1" collapsed="1"/>
    <col min="8" max="8" width="13.42578125" customWidth="1" collapsed="1"/>
    <col min="9" max="9" width="13" customWidth="1" collapsed="1"/>
    <col min="10" max="10" width="13.85546875" customWidth="1" collapsed="1"/>
    <col min="11" max="11" width="14.42578125" customWidth="1" collapsed="1"/>
    <col min="12" max="12" width="12.140625" customWidth="1" collapsed="1"/>
    <col min="13" max="13" width="11.7109375" customWidth="1" collapsed="1"/>
    <col min="14" max="14" width="6.5703125" customWidth="1" collapsed="1"/>
    <col min="15" max="15" width="11.140625" customWidth="1" collapsed="1"/>
    <col min="16" max="16" width="12" customWidth="1" collapsed="1"/>
    <col min="17" max="17" width="10.85546875" customWidth="1" collapsed="1"/>
    <col min="18" max="18" width="14.7109375" bestFit="1" customWidth="1" collapsed="1"/>
    <col min="19" max="19" width="12" customWidth="1" collapsed="1"/>
    <col min="20" max="20" width="13.7109375" bestFit="1" customWidth="1" collapsed="1"/>
    <col min="21" max="21" width="20.5703125" customWidth="1" collapsed="1"/>
    <col min="22" max="22" width="30.7109375" bestFit="1" customWidth="1" collapsed="1"/>
    <col min="23" max="23" width="14.7109375" bestFit="1" customWidth="1" collapsed="1"/>
  </cols>
  <sheetData>
    <row r="1" spans="1:23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5" t="s">
        <v>12</v>
      </c>
      <c r="N1" s="6" t="s">
        <v>13</v>
      </c>
      <c r="O1" s="7" t="s">
        <v>14</v>
      </c>
      <c r="P1" s="7" t="s">
        <v>15</v>
      </c>
      <c r="Q1" s="3" t="s">
        <v>16</v>
      </c>
      <c r="R1" s="3" t="s">
        <v>17</v>
      </c>
      <c r="S1" s="8" t="s">
        <v>18</v>
      </c>
      <c r="T1" s="7" t="s">
        <v>19</v>
      </c>
      <c r="U1" s="1" t="s">
        <v>20</v>
      </c>
      <c r="V1" s="1" t="s">
        <v>21</v>
      </c>
      <c r="W1" s="1" t="s">
        <v>22</v>
      </c>
    </row>
    <row r="2" spans="1:23" x14ac:dyDescent="0.25">
      <c r="A2" s="17" t="s">
        <v>28</v>
      </c>
      <c r="B2" s="17" t="s">
        <v>29</v>
      </c>
      <c r="C2" s="18">
        <v>45936</v>
      </c>
      <c r="D2" s="19">
        <v>145000</v>
      </c>
      <c r="E2" s="17" t="s">
        <v>23</v>
      </c>
      <c r="F2" s="17" t="s">
        <v>24</v>
      </c>
      <c r="G2" s="19">
        <v>145000</v>
      </c>
      <c r="H2" s="19">
        <v>55300</v>
      </c>
      <c r="I2" s="20">
        <f t="shared" ref="I2:I16" si="0">H2/G2*100</f>
        <v>38.137931034482762</v>
      </c>
      <c r="J2" s="19">
        <v>111395</v>
      </c>
      <c r="K2" s="19">
        <f>G2-48895</f>
        <v>96105</v>
      </c>
      <c r="L2" s="19">
        <v>62500</v>
      </c>
      <c r="M2" s="21">
        <v>100</v>
      </c>
      <c r="N2" s="22">
        <v>130</v>
      </c>
      <c r="O2" s="23">
        <v>0.29799999999999999</v>
      </c>
      <c r="P2" s="23">
        <v>0.29799999999999999</v>
      </c>
      <c r="Q2" s="19">
        <f t="shared" ref="Q2:Q16" si="1">K2/M2</f>
        <v>961.05</v>
      </c>
      <c r="R2" s="19">
        <f t="shared" ref="R2:R16" si="2">K2/O2</f>
        <v>322500</v>
      </c>
      <c r="S2" s="24">
        <f t="shared" ref="S2:S16" si="3">K2/O2/43560</f>
        <v>7.4035812672176311</v>
      </c>
      <c r="T2" s="23">
        <v>100</v>
      </c>
      <c r="U2" s="17" t="s">
        <v>25</v>
      </c>
      <c r="V2" s="17" t="s">
        <v>26</v>
      </c>
      <c r="W2" s="17" t="s">
        <v>30</v>
      </c>
    </row>
    <row r="3" spans="1:23" x14ac:dyDescent="0.25">
      <c r="A3" s="9" t="s">
        <v>32</v>
      </c>
      <c r="B3" s="9" t="s">
        <v>33</v>
      </c>
      <c r="C3" s="10">
        <v>45792</v>
      </c>
      <c r="D3" s="11">
        <v>100000</v>
      </c>
      <c r="E3" s="9" t="s">
        <v>23</v>
      </c>
      <c r="F3" s="9" t="s">
        <v>27</v>
      </c>
      <c r="G3" s="11">
        <v>100000</v>
      </c>
      <c r="H3" s="11">
        <v>4600</v>
      </c>
      <c r="I3" s="12">
        <f t="shared" si="0"/>
        <v>4.5999999999999996</v>
      </c>
      <c r="J3" s="11">
        <v>118766</v>
      </c>
      <c r="K3" s="11">
        <f>G3-71891</f>
        <v>28109</v>
      </c>
      <c r="L3" s="11">
        <v>46875</v>
      </c>
      <c r="M3" s="13">
        <v>27</v>
      </c>
      <c r="N3" s="14">
        <v>200</v>
      </c>
      <c r="O3" s="15">
        <v>0.34300000000000003</v>
      </c>
      <c r="P3" s="15">
        <v>0.124</v>
      </c>
      <c r="Q3" s="11">
        <f t="shared" si="1"/>
        <v>1041.0740740740741</v>
      </c>
      <c r="R3" s="11">
        <f t="shared" si="2"/>
        <v>81950.43731778425</v>
      </c>
      <c r="S3" s="16">
        <f t="shared" si="3"/>
        <v>1.8813231707480313</v>
      </c>
      <c r="T3" s="15">
        <v>27</v>
      </c>
      <c r="U3" s="9" t="s">
        <v>31</v>
      </c>
      <c r="V3" s="9" t="s">
        <v>26</v>
      </c>
      <c r="W3" s="9" t="s">
        <v>30</v>
      </c>
    </row>
    <row r="4" spans="1:23" x14ac:dyDescent="0.25">
      <c r="A4" s="17" t="s">
        <v>34</v>
      </c>
      <c r="B4" s="17" t="s">
        <v>35</v>
      </c>
      <c r="C4" s="18">
        <v>45510</v>
      </c>
      <c r="D4" s="19">
        <v>150000</v>
      </c>
      <c r="E4" s="17" t="s">
        <v>23</v>
      </c>
      <c r="F4" s="17" t="s">
        <v>24</v>
      </c>
      <c r="G4" s="19">
        <v>150000</v>
      </c>
      <c r="H4" s="19">
        <v>53900</v>
      </c>
      <c r="I4" s="20">
        <f t="shared" si="0"/>
        <v>35.933333333333337</v>
      </c>
      <c r="J4" s="19">
        <v>126534</v>
      </c>
      <c r="K4" s="19">
        <f>G4-69253</f>
        <v>80747</v>
      </c>
      <c r="L4" s="19">
        <v>57281</v>
      </c>
      <c r="M4" s="21">
        <v>91.65</v>
      </c>
      <c r="N4" s="22">
        <v>135.9</v>
      </c>
      <c r="O4" s="23">
        <v>0.28599999999999998</v>
      </c>
      <c r="P4" s="23">
        <v>0.28599999999999998</v>
      </c>
      <c r="Q4" s="19">
        <f t="shared" si="1"/>
        <v>881.03655210038187</v>
      </c>
      <c r="R4" s="19">
        <f t="shared" si="2"/>
        <v>282332.16783216788</v>
      </c>
      <c r="S4" s="24">
        <f t="shared" si="3"/>
        <v>6.4814547252563788</v>
      </c>
      <c r="T4" s="23">
        <v>91.65</v>
      </c>
      <c r="U4" s="17" t="s">
        <v>25</v>
      </c>
      <c r="V4" s="17" t="s">
        <v>26</v>
      </c>
      <c r="W4" s="17" t="s">
        <v>30</v>
      </c>
    </row>
    <row r="5" spans="1:23" x14ac:dyDescent="0.25">
      <c r="A5" s="9" t="s">
        <v>36</v>
      </c>
      <c r="B5" s="9" t="s">
        <v>37</v>
      </c>
      <c r="C5" s="10">
        <v>45880</v>
      </c>
      <c r="D5" s="11">
        <v>324900</v>
      </c>
      <c r="E5" s="9" t="s">
        <v>23</v>
      </c>
      <c r="F5" s="9" t="s">
        <v>24</v>
      </c>
      <c r="G5" s="11">
        <v>324900</v>
      </c>
      <c r="H5" s="11">
        <v>135700</v>
      </c>
      <c r="I5" s="12">
        <f t="shared" si="0"/>
        <v>41.766697445367804</v>
      </c>
      <c r="J5" s="11">
        <v>275508</v>
      </c>
      <c r="K5" s="11">
        <f>G5-181133</f>
        <v>143767</v>
      </c>
      <c r="L5" s="11">
        <v>94375</v>
      </c>
      <c r="M5" s="13">
        <v>151</v>
      </c>
      <c r="N5" s="14">
        <v>730</v>
      </c>
      <c r="O5" s="15">
        <v>2.5310000000000001</v>
      </c>
      <c r="P5" s="15">
        <v>2.5310000000000001</v>
      </c>
      <c r="Q5" s="11">
        <f t="shared" si="1"/>
        <v>952.0993377483444</v>
      </c>
      <c r="R5" s="11">
        <f t="shared" si="2"/>
        <v>56802.449624654284</v>
      </c>
      <c r="S5" s="16">
        <f t="shared" si="3"/>
        <v>1.3040048123198871</v>
      </c>
      <c r="T5" s="15">
        <v>151</v>
      </c>
      <c r="U5" s="9" t="s">
        <v>25</v>
      </c>
      <c r="V5" s="9" t="s">
        <v>26</v>
      </c>
      <c r="W5" s="9" t="s">
        <v>30</v>
      </c>
    </row>
    <row r="6" spans="1:23" x14ac:dyDescent="0.25">
      <c r="A6" s="9" t="s">
        <v>38</v>
      </c>
      <c r="B6" s="9" t="s">
        <v>39</v>
      </c>
      <c r="C6" s="10">
        <v>45072</v>
      </c>
      <c r="D6" s="11">
        <v>176000</v>
      </c>
      <c r="E6" s="9" t="s">
        <v>23</v>
      </c>
      <c r="F6" s="9" t="s">
        <v>24</v>
      </c>
      <c r="G6" s="11">
        <v>176000</v>
      </c>
      <c r="H6" s="11">
        <v>58300</v>
      </c>
      <c r="I6" s="12">
        <f t="shared" si="0"/>
        <v>33.125</v>
      </c>
      <c r="J6" s="11">
        <v>158856</v>
      </c>
      <c r="K6" s="11">
        <f>G6-86981</f>
        <v>89019</v>
      </c>
      <c r="L6" s="11">
        <v>71875</v>
      </c>
      <c r="M6" s="13">
        <v>115</v>
      </c>
      <c r="N6" s="14">
        <v>685</v>
      </c>
      <c r="O6" s="15">
        <v>1.8080000000000001</v>
      </c>
      <c r="P6" s="15">
        <v>1.8080000000000001</v>
      </c>
      <c r="Q6" s="11">
        <f t="shared" si="1"/>
        <v>774.07826086956527</v>
      </c>
      <c r="R6" s="11">
        <f t="shared" si="2"/>
        <v>49236.172566371679</v>
      </c>
      <c r="S6" s="16">
        <f t="shared" si="3"/>
        <v>1.1303069918818107</v>
      </c>
      <c r="T6" s="15">
        <v>115</v>
      </c>
      <c r="U6" s="9" t="s">
        <v>25</v>
      </c>
      <c r="V6" s="9" t="s">
        <v>26</v>
      </c>
      <c r="W6" s="9" t="s">
        <v>30</v>
      </c>
    </row>
    <row r="7" spans="1:23" x14ac:dyDescent="0.25">
      <c r="A7" s="17" t="s">
        <v>40</v>
      </c>
      <c r="B7" s="17" t="s">
        <v>41</v>
      </c>
      <c r="C7" s="18">
        <v>45107</v>
      </c>
      <c r="D7" s="19">
        <v>46000</v>
      </c>
      <c r="E7" s="17" t="s">
        <v>23</v>
      </c>
      <c r="F7" s="17" t="s">
        <v>24</v>
      </c>
      <c r="G7" s="19">
        <v>46000</v>
      </c>
      <c r="H7" s="19">
        <v>22300</v>
      </c>
      <c r="I7" s="20">
        <f t="shared" si="0"/>
        <v>48.478260869565219</v>
      </c>
      <c r="J7" s="19">
        <v>61875</v>
      </c>
      <c r="K7" s="19">
        <f>G7-0</f>
        <v>46000</v>
      </c>
      <c r="L7" s="19">
        <v>61875</v>
      </c>
      <c r="M7" s="21">
        <v>99</v>
      </c>
      <c r="N7" s="22">
        <v>412.5</v>
      </c>
      <c r="O7" s="23">
        <v>0.93799999999999994</v>
      </c>
      <c r="P7" s="23">
        <v>0.93799999999999994</v>
      </c>
      <c r="Q7" s="19">
        <f t="shared" si="1"/>
        <v>464.64646464646466</v>
      </c>
      <c r="R7" s="19">
        <f t="shared" si="2"/>
        <v>49040.511727078891</v>
      </c>
      <c r="S7" s="24">
        <f t="shared" si="3"/>
        <v>1.1258152370771095</v>
      </c>
      <c r="T7" s="23">
        <v>99</v>
      </c>
      <c r="U7" s="17" t="s">
        <v>25</v>
      </c>
      <c r="V7" s="17" t="s">
        <v>26</v>
      </c>
      <c r="W7" s="17" t="s">
        <v>30</v>
      </c>
    </row>
    <row r="8" spans="1:23" x14ac:dyDescent="0.25">
      <c r="A8" s="9" t="s">
        <v>42</v>
      </c>
      <c r="B8" s="9" t="s">
        <v>43</v>
      </c>
      <c r="C8" s="10">
        <v>45513</v>
      </c>
      <c r="D8" s="11">
        <v>159000</v>
      </c>
      <c r="E8" s="9" t="s">
        <v>23</v>
      </c>
      <c r="F8" s="9" t="s">
        <v>24</v>
      </c>
      <c r="G8" s="11">
        <v>159000</v>
      </c>
      <c r="H8" s="11">
        <v>77400</v>
      </c>
      <c r="I8" s="12">
        <f t="shared" si="0"/>
        <v>48.679245283018865</v>
      </c>
      <c r="J8" s="11">
        <v>170097</v>
      </c>
      <c r="K8" s="11">
        <f>G8-99472</f>
        <v>59528</v>
      </c>
      <c r="L8" s="11">
        <v>70625</v>
      </c>
      <c r="M8" s="13">
        <v>113</v>
      </c>
      <c r="N8" s="14">
        <v>44</v>
      </c>
      <c r="O8" s="15">
        <v>0.114</v>
      </c>
      <c r="P8" s="15">
        <v>0.114</v>
      </c>
      <c r="Q8" s="11">
        <f t="shared" si="1"/>
        <v>526.7964601769911</v>
      </c>
      <c r="R8" s="11">
        <f t="shared" si="2"/>
        <v>522175.43859649124</v>
      </c>
      <c r="S8" s="16">
        <f t="shared" si="3"/>
        <v>11.987498590369404</v>
      </c>
      <c r="T8" s="15">
        <v>113</v>
      </c>
      <c r="U8" s="9" t="s">
        <v>25</v>
      </c>
      <c r="V8" s="9" t="s">
        <v>26</v>
      </c>
      <c r="W8" s="9" t="s">
        <v>30</v>
      </c>
    </row>
    <row r="9" spans="1:23" x14ac:dyDescent="0.25">
      <c r="A9" s="17" t="s">
        <v>44</v>
      </c>
      <c r="B9" s="17" t="s">
        <v>45</v>
      </c>
      <c r="C9" s="18">
        <v>45079</v>
      </c>
      <c r="D9" s="19">
        <v>82000</v>
      </c>
      <c r="E9" s="17" t="s">
        <v>23</v>
      </c>
      <c r="F9" s="17" t="s">
        <v>24</v>
      </c>
      <c r="G9" s="19">
        <v>82000</v>
      </c>
      <c r="H9" s="19">
        <v>35800</v>
      </c>
      <c r="I9" s="20">
        <f t="shared" si="0"/>
        <v>43.658536585365852</v>
      </c>
      <c r="J9" s="19">
        <v>88222</v>
      </c>
      <c r="K9" s="19">
        <f>G9-44472</f>
        <v>37528</v>
      </c>
      <c r="L9" s="19">
        <v>43750</v>
      </c>
      <c r="M9" s="21">
        <v>70</v>
      </c>
      <c r="N9" s="22">
        <v>103</v>
      </c>
      <c r="O9" s="23">
        <v>0.16600000000000001</v>
      </c>
      <c r="P9" s="23">
        <v>0.16600000000000001</v>
      </c>
      <c r="Q9" s="19">
        <f t="shared" si="1"/>
        <v>536.11428571428576</v>
      </c>
      <c r="R9" s="19">
        <f t="shared" si="2"/>
        <v>226072.2891566265</v>
      </c>
      <c r="S9" s="24">
        <f t="shared" si="3"/>
        <v>5.1899056280217284</v>
      </c>
      <c r="T9" s="23">
        <v>70</v>
      </c>
      <c r="U9" s="17" t="s">
        <v>25</v>
      </c>
      <c r="V9" s="17" t="s">
        <v>26</v>
      </c>
      <c r="W9" s="17" t="s">
        <v>30</v>
      </c>
    </row>
    <row r="10" spans="1:23" x14ac:dyDescent="0.25">
      <c r="A10" s="9" t="s">
        <v>44</v>
      </c>
      <c r="B10" s="9" t="s">
        <v>45</v>
      </c>
      <c r="C10" s="10">
        <v>45476</v>
      </c>
      <c r="D10" s="11">
        <v>80000</v>
      </c>
      <c r="E10" s="9" t="s">
        <v>23</v>
      </c>
      <c r="F10" s="9" t="s">
        <v>24</v>
      </c>
      <c r="G10" s="11">
        <v>80000</v>
      </c>
      <c r="H10" s="11">
        <v>39900</v>
      </c>
      <c r="I10" s="12">
        <f t="shared" si="0"/>
        <v>49.875</v>
      </c>
      <c r="J10" s="11">
        <v>88222</v>
      </c>
      <c r="K10" s="11">
        <f>G10-44472</f>
        <v>35528</v>
      </c>
      <c r="L10" s="11">
        <v>43750</v>
      </c>
      <c r="M10" s="13">
        <v>70</v>
      </c>
      <c r="N10" s="14">
        <v>103</v>
      </c>
      <c r="O10" s="15">
        <v>0.16600000000000001</v>
      </c>
      <c r="P10" s="15">
        <v>0.16600000000000001</v>
      </c>
      <c r="Q10" s="11">
        <f t="shared" si="1"/>
        <v>507.54285714285714</v>
      </c>
      <c r="R10" s="11">
        <f t="shared" si="2"/>
        <v>214024.09638554216</v>
      </c>
      <c r="S10" s="16">
        <f t="shared" si="3"/>
        <v>4.9133171805680016</v>
      </c>
      <c r="T10" s="15">
        <v>70</v>
      </c>
      <c r="U10" s="9" t="s">
        <v>25</v>
      </c>
      <c r="V10" s="9" t="s">
        <v>26</v>
      </c>
      <c r="W10" s="9" t="s">
        <v>30</v>
      </c>
    </row>
    <row r="11" spans="1:23" x14ac:dyDescent="0.25">
      <c r="A11" s="17" t="s">
        <v>46</v>
      </c>
      <c r="B11" s="17" t="s">
        <v>47</v>
      </c>
      <c r="C11" s="18">
        <v>45555</v>
      </c>
      <c r="D11" s="19">
        <v>194500</v>
      </c>
      <c r="E11" s="17" t="s">
        <v>23</v>
      </c>
      <c r="F11" s="17" t="s">
        <v>24</v>
      </c>
      <c r="G11" s="19">
        <v>194500</v>
      </c>
      <c r="H11" s="19">
        <v>89200</v>
      </c>
      <c r="I11" s="20">
        <f t="shared" si="0"/>
        <v>45.861182519280206</v>
      </c>
      <c r="J11" s="19">
        <v>198570</v>
      </c>
      <c r="K11" s="19">
        <f>G11-106070</f>
        <v>88430</v>
      </c>
      <c r="L11" s="19">
        <v>92500</v>
      </c>
      <c r="M11" s="21">
        <v>148</v>
      </c>
      <c r="N11" s="22">
        <v>220</v>
      </c>
      <c r="O11" s="23">
        <v>0.747</v>
      </c>
      <c r="P11" s="23">
        <v>0.747</v>
      </c>
      <c r="Q11" s="19">
        <f t="shared" si="1"/>
        <v>597.5</v>
      </c>
      <c r="R11" s="19">
        <f t="shared" si="2"/>
        <v>118380.18741633199</v>
      </c>
      <c r="S11" s="24">
        <f t="shared" si="3"/>
        <v>2.7176351564814505</v>
      </c>
      <c r="T11" s="23">
        <v>148</v>
      </c>
      <c r="U11" s="17" t="s">
        <v>25</v>
      </c>
      <c r="V11" s="17" t="s">
        <v>26</v>
      </c>
      <c r="W11" s="17" t="s">
        <v>30</v>
      </c>
    </row>
    <row r="12" spans="1:23" x14ac:dyDescent="0.25">
      <c r="A12" s="17" t="s">
        <v>48</v>
      </c>
      <c r="B12" s="17" t="s">
        <v>49</v>
      </c>
      <c r="C12" s="18">
        <v>45520</v>
      </c>
      <c r="D12" s="19">
        <v>64500</v>
      </c>
      <c r="E12" s="17" t="s">
        <v>23</v>
      </c>
      <c r="F12" s="17" t="s">
        <v>24</v>
      </c>
      <c r="G12" s="19">
        <v>64500</v>
      </c>
      <c r="H12" s="19">
        <v>32200</v>
      </c>
      <c r="I12" s="20">
        <f t="shared" si="0"/>
        <v>49.922480620155042</v>
      </c>
      <c r="J12" s="19">
        <v>69512</v>
      </c>
      <c r="K12" s="19">
        <f>G12-42012</f>
        <v>22488</v>
      </c>
      <c r="L12" s="19">
        <v>27500</v>
      </c>
      <c r="M12" s="21">
        <v>44</v>
      </c>
      <c r="N12" s="22">
        <v>127</v>
      </c>
      <c r="O12" s="23">
        <v>0.128</v>
      </c>
      <c r="P12" s="23">
        <v>0.128</v>
      </c>
      <c r="Q12" s="19">
        <f t="shared" si="1"/>
        <v>511.09090909090907</v>
      </c>
      <c r="R12" s="19">
        <f t="shared" si="2"/>
        <v>175687.5</v>
      </c>
      <c r="S12" s="24">
        <f t="shared" si="3"/>
        <v>4.0332300275482096</v>
      </c>
      <c r="T12" s="23">
        <v>44</v>
      </c>
      <c r="U12" s="17" t="s">
        <v>25</v>
      </c>
      <c r="V12" s="17" t="s">
        <v>26</v>
      </c>
      <c r="W12" s="17" t="s">
        <v>30</v>
      </c>
    </row>
    <row r="13" spans="1:23" x14ac:dyDescent="0.25">
      <c r="A13" s="17" t="s">
        <v>50</v>
      </c>
      <c r="B13" s="17" t="s">
        <v>51</v>
      </c>
      <c r="C13" s="18">
        <v>45175</v>
      </c>
      <c r="D13" s="19">
        <v>52500</v>
      </c>
      <c r="E13" s="17" t="s">
        <v>23</v>
      </c>
      <c r="F13" s="17" t="s">
        <v>24</v>
      </c>
      <c r="G13" s="19">
        <v>52500</v>
      </c>
      <c r="H13" s="19">
        <v>22600</v>
      </c>
      <c r="I13" s="20">
        <f t="shared" si="0"/>
        <v>43.047619047619044</v>
      </c>
      <c r="J13" s="19">
        <v>58261</v>
      </c>
      <c r="K13" s="19">
        <f>G13-27011</f>
        <v>25489</v>
      </c>
      <c r="L13" s="19">
        <v>31250</v>
      </c>
      <c r="M13" s="21">
        <v>50</v>
      </c>
      <c r="N13" s="22">
        <v>130</v>
      </c>
      <c r="O13" s="23">
        <v>0.14899999999999999</v>
      </c>
      <c r="P13" s="23">
        <v>0.14899999999999999</v>
      </c>
      <c r="Q13" s="19">
        <f t="shared" si="1"/>
        <v>509.78</v>
      </c>
      <c r="R13" s="19">
        <f t="shared" si="2"/>
        <v>171067.11409395974</v>
      </c>
      <c r="S13" s="24">
        <f t="shared" si="3"/>
        <v>3.9271605623039427</v>
      </c>
      <c r="T13" s="23">
        <v>50</v>
      </c>
      <c r="U13" s="17" t="s">
        <v>25</v>
      </c>
      <c r="V13" s="17" t="s">
        <v>26</v>
      </c>
      <c r="W13" s="17" t="s">
        <v>30</v>
      </c>
    </row>
    <row r="14" spans="1:23" x14ac:dyDescent="0.25">
      <c r="A14" s="17" t="s">
        <v>52</v>
      </c>
      <c r="B14" s="17" t="s">
        <v>53</v>
      </c>
      <c r="C14" s="18">
        <v>45954</v>
      </c>
      <c r="D14" s="19">
        <v>220000</v>
      </c>
      <c r="E14" s="17" t="s">
        <v>23</v>
      </c>
      <c r="F14" s="17" t="s">
        <v>27</v>
      </c>
      <c r="G14" s="19">
        <v>220000</v>
      </c>
      <c r="H14" s="19">
        <v>85700</v>
      </c>
      <c r="I14" s="20">
        <f t="shared" si="0"/>
        <v>38.954545454545453</v>
      </c>
      <c r="J14" s="19">
        <v>184992</v>
      </c>
      <c r="K14" s="19">
        <f>G14-142712</f>
        <v>77288</v>
      </c>
      <c r="L14" s="19">
        <v>42250</v>
      </c>
      <c r="M14" s="21">
        <v>118</v>
      </c>
      <c r="N14" s="22">
        <v>136</v>
      </c>
      <c r="O14" s="23">
        <v>0.184</v>
      </c>
      <c r="P14" s="23">
        <v>0.10100000000000001</v>
      </c>
      <c r="Q14" s="19">
        <f t="shared" si="1"/>
        <v>654.98305084745766</v>
      </c>
      <c r="R14" s="19">
        <f t="shared" si="2"/>
        <v>420043.47826086957</v>
      </c>
      <c r="S14" s="24">
        <f t="shared" si="3"/>
        <v>9.6428714017646833</v>
      </c>
      <c r="T14" s="23">
        <v>118</v>
      </c>
      <c r="U14" s="17" t="s">
        <v>54</v>
      </c>
      <c r="V14" s="17" t="s">
        <v>26</v>
      </c>
      <c r="W14" s="17" t="s">
        <v>30</v>
      </c>
    </row>
    <row r="15" spans="1:23" x14ac:dyDescent="0.25">
      <c r="A15" s="9" t="s">
        <v>55</v>
      </c>
      <c r="B15" s="9" t="s">
        <v>56</v>
      </c>
      <c r="C15" s="10">
        <v>45359</v>
      </c>
      <c r="D15" s="11">
        <v>127500</v>
      </c>
      <c r="E15" s="9" t="s">
        <v>23</v>
      </c>
      <c r="F15" s="9" t="s">
        <v>24</v>
      </c>
      <c r="G15" s="11">
        <v>127500</v>
      </c>
      <c r="H15" s="11">
        <v>43700</v>
      </c>
      <c r="I15" s="12">
        <f t="shared" si="0"/>
        <v>34.274509803921575</v>
      </c>
      <c r="J15" s="11">
        <v>126323</v>
      </c>
      <c r="K15" s="11">
        <f>G15-76323</f>
        <v>51177</v>
      </c>
      <c r="L15" s="11">
        <v>50000</v>
      </c>
      <c r="M15" s="13">
        <v>80</v>
      </c>
      <c r="N15" s="14">
        <v>80</v>
      </c>
      <c r="O15" s="15">
        <v>0.14699999999999999</v>
      </c>
      <c r="P15" s="15">
        <v>0.14699999999999999</v>
      </c>
      <c r="Q15" s="11">
        <f t="shared" si="1"/>
        <v>639.71249999999998</v>
      </c>
      <c r="R15" s="11">
        <f t="shared" si="2"/>
        <v>348142.85714285716</v>
      </c>
      <c r="S15" s="16">
        <f t="shared" si="3"/>
        <v>7.9922602649875385</v>
      </c>
      <c r="T15" s="15">
        <v>80</v>
      </c>
      <c r="U15" s="9" t="s">
        <v>25</v>
      </c>
      <c r="V15" s="9" t="s">
        <v>26</v>
      </c>
      <c r="W15" s="9" t="s">
        <v>30</v>
      </c>
    </row>
    <row r="16" spans="1:23" x14ac:dyDescent="0.25">
      <c r="A16" s="17" t="s">
        <v>57</v>
      </c>
      <c r="B16" s="17" t="s">
        <v>58</v>
      </c>
      <c r="C16" s="18">
        <v>45604</v>
      </c>
      <c r="D16" s="19">
        <v>50000</v>
      </c>
      <c r="E16" s="17" t="s">
        <v>23</v>
      </c>
      <c r="F16" s="17" t="s">
        <v>24</v>
      </c>
      <c r="G16" s="19">
        <v>50000</v>
      </c>
      <c r="H16" s="19">
        <v>31600</v>
      </c>
      <c r="I16" s="20">
        <f t="shared" si="0"/>
        <v>63.2</v>
      </c>
      <c r="J16" s="19">
        <v>72497</v>
      </c>
      <c r="K16" s="19">
        <f>G16-22497</f>
        <v>27503</v>
      </c>
      <c r="L16" s="19">
        <v>50000</v>
      </c>
      <c r="M16" s="21">
        <v>80</v>
      </c>
      <c r="N16" s="22">
        <v>96</v>
      </c>
      <c r="O16" s="23">
        <v>0.17599999999999999</v>
      </c>
      <c r="P16" s="23">
        <v>0.17599999999999999</v>
      </c>
      <c r="Q16" s="19">
        <f t="shared" si="1"/>
        <v>343.78750000000002</v>
      </c>
      <c r="R16" s="19">
        <f t="shared" si="2"/>
        <v>156267.04545454547</v>
      </c>
      <c r="S16" s="24">
        <f t="shared" si="3"/>
        <v>3.5873977377076556</v>
      </c>
      <c r="T16" s="23">
        <v>80</v>
      </c>
      <c r="U16" s="17" t="s">
        <v>25</v>
      </c>
      <c r="V16" s="17" t="s">
        <v>26</v>
      </c>
      <c r="W16" s="17" t="s">
        <v>30</v>
      </c>
    </row>
    <row r="17" spans="1:23" x14ac:dyDescent="0.25">
      <c r="A17" s="9" t="s">
        <v>59</v>
      </c>
      <c r="B17" s="9" t="s">
        <v>60</v>
      </c>
      <c r="C17" s="10">
        <v>45596</v>
      </c>
      <c r="D17" s="11">
        <v>145000</v>
      </c>
      <c r="E17" s="9" t="s">
        <v>23</v>
      </c>
      <c r="F17" s="9" t="s">
        <v>24</v>
      </c>
      <c r="G17" s="11">
        <v>145000</v>
      </c>
      <c r="H17" s="11">
        <v>47900</v>
      </c>
      <c r="I17" s="12">
        <f t="shared" ref="I17:I24" si="4">H17/G17*100</f>
        <v>33.03448275862069</v>
      </c>
      <c r="J17" s="11">
        <v>120452</v>
      </c>
      <c r="K17" s="11">
        <f>G17-82952</f>
        <v>62048</v>
      </c>
      <c r="L17" s="11">
        <v>37500</v>
      </c>
      <c r="M17" s="13">
        <v>60</v>
      </c>
      <c r="N17" s="14">
        <v>202</v>
      </c>
      <c r="O17" s="15">
        <v>0.27800000000000002</v>
      </c>
      <c r="P17" s="15">
        <v>0.27800000000000002</v>
      </c>
      <c r="Q17" s="11">
        <f t="shared" ref="Q17:Q24" si="5">K17/M17</f>
        <v>1034.1333333333334</v>
      </c>
      <c r="R17" s="11">
        <f t="shared" ref="R17:R24" si="6">K17/O17</f>
        <v>223194.24460431654</v>
      </c>
      <c r="S17" s="16">
        <f t="shared" ref="S17:S24" si="7">K17/O17/43560</f>
        <v>5.123834816444365</v>
      </c>
      <c r="T17" s="15">
        <v>60</v>
      </c>
      <c r="U17" s="9" t="s">
        <v>25</v>
      </c>
      <c r="V17" s="9" t="s">
        <v>26</v>
      </c>
      <c r="W17" s="9" t="s">
        <v>30</v>
      </c>
    </row>
    <row r="18" spans="1:23" x14ac:dyDescent="0.25">
      <c r="A18" s="9" t="s">
        <v>61</v>
      </c>
      <c r="B18" s="9" t="s">
        <v>62</v>
      </c>
      <c r="C18" s="10">
        <v>45555</v>
      </c>
      <c r="D18" s="11">
        <v>288614</v>
      </c>
      <c r="E18" s="9" t="s">
        <v>23</v>
      </c>
      <c r="F18" s="9" t="s">
        <v>24</v>
      </c>
      <c r="G18" s="11">
        <v>288614</v>
      </c>
      <c r="H18" s="11">
        <v>109000</v>
      </c>
      <c r="I18" s="12">
        <f t="shared" si="4"/>
        <v>37.766705703812015</v>
      </c>
      <c r="J18" s="11">
        <v>253534</v>
      </c>
      <c r="K18" s="11">
        <f>G18-176659</f>
        <v>111955</v>
      </c>
      <c r="L18" s="11">
        <v>76875</v>
      </c>
      <c r="M18" s="13">
        <v>123</v>
      </c>
      <c r="N18" s="14">
        <v>240</v>
      </c>
      <c r="O18" s="15">
        <v>0.67800000000000005</v>
      </c>
      <c r="P18" s="15">
        <v>0.67800000000000005</v>
      </c>
      <c r="Q18" s="11">
        <f t="shared" si="5"/>
        <v>910.20325203252037</v>
      </c>
      <c r="R18" s="11">
        <f t="shared" si="6"/>
        <v>165125.36873156342</v>
      </c>
      <c r="S18" s="16">
        <f t="shared" si="7"/>
        <v>3.7907568579330446</v>
      </c>
      <c r="T18" s="15">
        <v>123</v>
      </c>
      <c r="U18" s="9" t="s">
        <v>25</v>
      </c>
      <c r="V18" s="9" t="s">
        <v>26</v>
      </c>
      <c r="W18" s="9" t="s">
        <v>30</v>
      </c>
    </row>
    <row r="19" spans="1:23" x14ac:dyDescent="0.25">
      <c r="A19" s="17" t="s">
        <v>63</v>
      </c>
      <c r="B19" s="17" t="s">
        <v>64</v>
      </c>
      <c r="C19" s="18">
        <v>45786</v>
      </c>
      <c r="D19" s="19">
        <v>220000</v>
      </c>
      <c r="E19" s="17" t="s">
        <v>23</v>
      </c>
      <c r="F19" s="17" t="s">
        <v>24</v>
      </c>
      <c r="G19" s="19">
        <v>220000</v>
      </c>
      <c r="H19" s="19">
        <v>82200</v>
      </c>
      <c r="I19" s="20">
        <f t="shared" si="4"/>
        <v>37.363636363636367</v>
      </c>
      <c r="J19" s="19">
        <v>163265</v>
      </c>
      <c r="K19" s="19">
        <f>G19-77327</f>
        <v>142673</v>
      </c>
      <c r="L19" s="19">
        <v>85938</v>
      </c>
      <c r="M19" s="21">
        <v>275</v>
      </c>
      <c r="N19" s="22">
        <v>150</v>
      </c>
      <c r="O19" s="23">
        <v>0.94699999999999995</v>
      </c>
      <c r="P19" s="23">
        <v>0.94699999999999995</v>
      </c>
      <c r="Q19" s="19">
        <f t="shared" si="5"/>
        <v>518.81090909090904</v>
      </c>
      <c r="R19" s="19">
        <f t="shared" si="6"/>
        <v>150657.86694825767</v>
      </c>
      <c r="S19" s="24">
        <f t="shared" si="7"/>
        <v>3.458628717820424</v>
      </c>
      <c r="T19" s="23">
        <v>275</v>
      </c>
      <c r="U19" s="17" t="s">
        <v>25</v>
      </c>
      <c r="V19" s="17" t="s">
        <v>26</v>
      </c>
      <c r="W19" s="17" t="s">
        <v>30</v>
      </c>
    </row>
    <row r="20" spans="1:23" x14ac:dyDescent="0.25">
      <c r="A20" s="17" t="s">
        <v>65</v>
      </c>
      <c r="B20" s="17" t="s">
        <v>66</v>
      </c>
      <c r="C20" s="18">
        <v>45957</v>
      </c>
      <c r="D20" s="19">
        <v>56000</v>
      </c>
      <c r="E20" s="17" t="s">
        <v>23</v>
      </c>
      <c r="F20" s="17" t="s">
        <v>24</v>
      </c>
      <c r="G20" s="19">
        <v>56000</v>
      </c>
      <c r="H20" s="19">
        <v>32200</v>
      </c>
      <c r="I20" s="20">
        <f t="shared" si="4"/>
        <v>57.499999999999993</v>
      </c>
      <c r="J20" s="19">
        <v>64375</v>
      </c>
      <c r="K20" s="19">
        <f>G20-0</f>
        <v>56000</v>
      </c>
      <c r="L20" s="19">
        <v>64375</v>
      </c>
      <c r="M20" s="21">
        <v>103</v>
      </c>
      <c r="N20" s="22">
        <v>417</v>
      </c>
      <c r="O20" s="23">
        <v>0.98599999999999999</v>
      </c>
      <c r="P20" s="23">
        <v>0.77</v>
      </c>
      <c r="Q20" s="19">
        <f t="shared" si="5"/>
        <v>543.68932038834953</v>
      </c>
      <c r="R20" s="19">
        <f t="shared" si="6"/>
        <v>56795.131845841788</v>
      </c>
      <c r="S20" s="24">
        <f t="shared" si="7"/>
        <v>1.3038368192342009</v>
      </c>
      <c r="T20" s="23">
        <v>103</v>
      </c>
      <c r="U20" s="17" t="s">
        <v>25</v>
      </c>
      <c r="V20" s="17" t="s">
        <v>26</v>
      </c>
      <c r="W20" s="17" t="s">
        <v>30</v>
      </c>
    </row>
    <row r="21" spans="1:23" x14ac:dyDescent="0.25">
      <c r="A21" s="9" t="s">
        <v>67</v>
      </c>
      <c r="B21" s="9" t="s">
        <v>68</v>
      </c>
      <c r="C21" s="10">
        <v>45534</v>
      </c>
      <c r="D21" s="11">
        <v>439000</v>
      </c>
      <c r="E21" s="9" t="s">
        <v>23</v>
      </c>
      <c r="F21" s="9" t="s">
        <v>24</v>
      </c>
      <c r="G21" s="11">
        <v>439000</v>
      </c>
      <c r="H21" s="11">
        <v>229100</v>
      </c>
      <c r="I21" s="12">
        <f t="shared" si="4"/>
        <v>52.186788154897492</v>
      </c>
      <c r="J21" s="11">
        <v>469555</v>
      </c>
      <c r="K21" s="11">
        <f>G21-269555</f>
        <v>169445</v>
      </c>
      <c r="L21" s="11">
        <v>200000</v>
      </c>
      <c r="M21" s="13">
        <v>320</v>
      </c>
      <c r="N21" s="14">
        <v>0</v>
      </c>
      <c r="O21" s="15">
        <v>0</v>
      </c>
      <c r="P21" s="15">
        <v>0</v>
      </c>
      <c r="Q21" s="11">
        <f t="shared" si="5"/>
        <v>529.515625</v>
      </c>
      <c r="R21" s="11" t="e">
        <f t="shared" si="6"/>
        <v>#DIV/0!</v>
      </c>
      <c r="S21" s="16" t="e">
        <f t="shared" si="7"/>
        <v>#DIV/0!</v>
      </c>
      <c r="T21" s="15">
        <v>320</v>
      </c>
      <c r="U21" s="9" t="s">
        <v>25</v>
      </c>
      <c r="V21" s="9" t="s">
        <v>26</v>
      </c>
      <c r="W21" s="9" t="s">
        <v>30</v>
      </c>
    </row>
    <row r="22" spans="1:23" x14ac:dyDescent="0.25">
      <c r="A22" s="9" t="s">
        <v>69</v>
      </c>
      <c r="B22" s="9" t="s">
        <v>70</v>
      </c>
      <c r="C22" s="10">
        <v>45233</v>
      </c>
      <c r="D22" s="11">
        <v>125000</v>
      </c>
      <c r="E22" s="9" t="s">
        <v>23</v>
      </c>
      <c r="F22" s="9" t="s">
        <v>24</v>
      </c>
      <c r="G22" s="11">
        <v>125000</v>
      </c>
      <c r="H22" s="11">
        <v>55700</v>
      </c>
      <c r="I22" s="12">
        <f t="shared" si="4"/>
        <v>44.56</v>
      </c>
      <c r="J22" s="11">
        <v>139998</v>
      </c>
      <c r="K22" s="11">
        <f>G22-89373</f>
        <v>35627</v>
      </c>
      <c r="L22" s="11">
        <v>50625</v>
      </c>
      <c r="M22" s="13">
        <v>81</v>
      </c>
      <c r="N22" s="14">
        <v>314</v>
      </c>
      <c r="O22" s="15">
        <v>0.58399999999999996</v>
      </c>
      <c r="P22" s="15">
        <v>0.58399999999999996</v>
      </c>
      <c r="Q22" s="11">
        <f t="shared" si="5"/>
        <v>439.83950617283949</v>
      </c>
      <c r="R22" s="11">
        <f t="shared" si="6"/>
        <v>61005.136986301375</v>
      </c>
      <c r="S22" s="16">
        <f t="shared" si="7"/>
        <v>1.4004852384366706</v>
      </c>
      <c r="T22" s="15">
        <v>81</v>
      </c>
      <c r="U22" s="9" t="s">
        <v>25</v>
      </c>
      <c r="V22" s="9" t="s">
        <v>26</v>
      </c>
      <c r="W22" s="9" t="s">
        <v>30</v>
      </c>
    </row>
    <row r="23" spans="1:23" x14ac:dyDescent="0.25">
      <c r="A23" s="17" t="s">
        <v>71</v>
      </c>
      <c r="B23" s="17" t="s">
        <v>72</v>
      </c>
      <c r="C23" s="18">
        <v>45568</v>
      </c>
      <c r="D23" s="19">
        <v>167000</v>
      </c>
      <c r="E23" s="17" t="s">
        <v>23</v>
      </c>
      <c r="F23" s="17" t="s">
        <v>27</v>
      </c>
      <c r="G23" s="19">
        <v>167000</v>
      </c>
      <c r="H23" s="19">
        <v>63800</v>
      </c>
      <c r="I23" s="20">
        <f t="shared" si="4"/>
        <v>38.203592814371255</v>
      </c>
      <c r="J23" s="19">
        <v>145867</v>
      </c>
      <c r="K23" s="19">
        <f>G23-95857</f>
        <v>71143</v>
      </c>
      <c r="L23" s="19">
        <v>50010</v>
      </c>
      <c r="M23" s="21">
        <v>234</v>
      </c>
      <c r="N23" s="22">
        <v>316</v>
      </c>
      <c r="O23" s="23">
        <v>0.56999999999999995</v>
      </c>
      <c r="P23" s="23">
        <v>0.28699999999999998</v>
      </c>
      <c r="Q23" s="19">
        <f t="shared" si="5"/>
        <v>304.02991452991455</v>
      </c>
      <c r="R23" s="19">
        <f t="shared" si="6"/>
        <v>124812.2807017544</v>
      </c>
      <c r="S23" s="24">
        <f t="shared" si="7"/>
        <v>2.8652957002239301</v>
      </c>
      <c r="T23" s="23">
        <v>234</v>
      </c>
      <c r="U23" s="17" t="s">
        <v>73</v>
      </c>
      <c r="V23" s="17" t="s">
        <v>26</v>
      </c>
      <c r="W23" s="17" t="s">
        <v>30</v>
      </c>
    </row>
    <row r="24" spans="1:23" x14ac:dyDescent="0.25">
      <c r="A24" s="9" t="s">
        <v>74</v>
      </c>
      <c r="B24" s="9" t="s">
        <v>75</v>
      </c>
      <c r="C24" s="10">
        <v>45110</v>
      </c>
      <c r="D24" s="11">
        <v>169900</v>
      </c>
      <c r="E24" s="9" t="s">
        <v>23</v>
      </c>
      <c r="F24" s="9" t="s">
        <v>24</v>
      </c>
      <c r="G24" s="11">
        <v>169900</v>
      </c>
      <c r="H24" s="11">
        <v>55500</v>
      </c>
      <c r="I24" s="12">
        <f t="shared" si="4"/>
        <v>32.666274278987636</v>
      </c>
      <c r="J24" s="11">
        <v>136161</v>
      </c>
      <c r="K24" s="11">
        <f>G24-89911</f>
        <v>79989</v>
      </c>
      <c r="L24" s="11">
        <v>46250</v>
      </c>
      <c r="M24" s="13">
        <v>74</v>
      </c>
      <c r="N24" s="14">
        <v>106</v>
      </c>
      <c r="O24" s="15">
        <v>0.18</v>
      </c>
      <c r="P24" s="15">
        <v>0.18</v>
      </c>
      <c r="Q24" s="11">
        <f t="shared" si="5"/>
        <v>1080.9324324324325</v>
      </c>
      <c r="R24" s="11">
        <f t="shared" si="6"/>
        <v>444383.33333333337</v>
      </c>
      <c r="S24" s="16">
        <f t="shared" si="7"/>
        <v>10.201637588001224</v>
      </c>
      <c r="T24" s="15">
        <v>74</v>
      </c>
      <c r="U24" s="9" t="s">
        <v>25</v>
      </c>
      <c r="V24" s="9" t="s">
        <v>26</v>
      </c>
      <c r="W24" s="9" t="s">
        <v>30</v>
      </c>
    </row>
    <row r="25" spans="1:23" x14ac:dyDescent="0.25">
      <c r="A25" s="17"/>
      <c r="B25" s="17"/>
      <c r="C25" s="18"/>
      <c r="D25" s="19"/>
      <c r="E25" s="17"/>
      <c r="F25" s="17"/>
      <c r="G25" s="19"/>
      <c r="H25" s="19"/>
      <c r="I25" s="20"/>
      <c r="J25" s="19"/>
      <c r="K25" s="19"/>
      <c r="L25" s="19"/>
      <c r="M25" s="21"/>
      <c r="N25" s="22"/>
      <c r="O25" s="23"/>
      <c r="P25" s="23"/>
      <c r="Q25" s="19"/>
      <c r="R25" s="19"/>
      <c r="S25" s="24"/>
      <c r="T25" s="23"/>
      <c r="U25" s="17"/>
      <c r="V25" s="17"/>
      <c r="W25" s="17"/>
    </row>
    <row r="26" spans="1:23" x14ac:dyDescent="0.25">
      <c r="A26" s="33"/>
      <c r="B26" s="33"/>
      <c r="C26" s="34" t="s">
        <v>76</v>
      </c>
      <c r="D26" s="35">
        <f>+SUM(D2:D25)</f>
        <v>3582414</v>
      </c>
      <c r="E26" s="33"/>
      <c r="F26" s="33"/>
      <c r="G26" s="35">
        <f>+SUM(G2:G25)</f>
        <v>3582414</v>
      </c>
      <c r="H26" s="35">
        <f>+SUM(H2:H25)</f>
        <v>1463600</v>
      </c>
      <c r="I26" s="36"/>
      <c r="J26" s="35">
        <f>+SUM(J2:J25)</f>
        <v>3402837</v>
      </c>
      <c r="K26" s="35">
        <f>+SUM(K2:K25)</f>
        <v>1637586</v>
      </c>
      <c r="L26" s="35">
        <f>+SUM(L2:L25)</f>
        <v>1457979</v>
      </c>
      <c r="M26" s="37">
        <f>+SUM(M2:M25)</f>
        <v>2626.65</v>
      </c>
      <c r="N26" s="38"/>
      <c r="O26" s="39">
        <f>+SUM(O2:O25)</f>
        <v>12.404000000000002</v>
      </c>
      <c r="P26" s="39">
        <f>+SUM(P2:P25)</f>
        <v>11.603</v>
      </c>
      <c r="Q26" s="35"/>
      <c r="R26" s="35"/>
      <c r="S26" s="40"/>
      <c r="T26" s="39"/>
      <c r="U26" s="33"/>
      <c r="V26" s="33"/>
      <c r="W26" s="33"/>
    </row>
    <row r="27" spans="1:23" x14ac:dyDescent="0.25">
      <c r="A27" s="25"/>
      <c r="B27" s="25"/>
      <c r="C27" s="26"/>
      <c r="D27" s="27"/>
      <c r="E27" s="25"/>
      <c r="F27" s="25"/>
      <c r="G27" s="27"/>
      <c r="H27" s="27" t="s">
        <v>77</v>
      </c>
      <c r="I27" s="28">
        <f>H26/G26*100</f>
        <v>40.855132879672759</v>
      </c>
      <c r="J27" s="27"/>
      <c r="K27" s="27"/>
      <c r="L27" s="27" t="s">
        <v>79</v>
      </c>
      <c r="M27" s="29"/>
      <c r="N27" s="30"/>
      <c r="O27" s="31" t="s">
        <v>79</v>
      </c>
      <c r="P27" s="31"/>
      <c r="Q27" s="27"/>
      <c r="R27" s="27" t="s">
        <v>79</v>
      </c>
      <c r="S27" s="32"/>
      <c r="T27" s="31"/>
      <c r="U27" s="25"/>
      <c r="V27" s="25"/>
      <c r="W27" s="25"/>
    </row>
    <row r="28" spans="1:23" x14ac:dyDescent="0.25">
      <c r="A28" s="41"/>
      <c r="B28" s="41"/>
      <c r="C28" s="42"/>
      <c r="D28" s="43"/>
      <c r="E28" s="41"/>
      <c r="F28" s="41"/>
      <c r="G28" s="43"/>
      <c r="H28" s="43" t="s">
        <v>78</v>
      </c>
      <c r="I28" s="44">
        <f>STDEV(I2:I25)</f>
        <v>11.366095214380717</v>
      </c>
      <c r="J28" s="43"/>
      <c r="K28" s="43"/>
      <c r="L28" s="43" t="s">
        <v>80</v>
      </c>
      <c r="M28" s="48">
        <f>K26/M26</f>
        <v>623.45040260407745</v>
      </c>
      <c r="N28" s="45"/>
      <c r="O28" s="46" t="s">
        <v>81</v>
      </c>
      <c r="P28" s="46">
        <f>K26/O26</f>
        <v>132020.79974201869</v>
      </c>
      <c r="Q28" s="43"/>
      <c r="R28" s="43" t="s">
        <v>82</v>
      </c>
      <c r="S28" s="47">
        <f>K26/O26/43560</f>
        <v>3.0307805266762786</v>
      </c>
      <c r="T28" s="46"/>
      <c r="U28" s="41"/>
      <c r="V28" s="41"/>
      <c r="W28" s="41"/>
    </row>
    <row r="29" spans="1:23" x14ac:dyDescent="0.25">
      <c r="O29" s="49" t="s">
        <v>83</v>
      </c>
    </row>
    <row r="30" spans="1:23" x14ac:dyDescent="0.25">
      <c r="M30" t="s">
        <v>84</v>
      </c>
    </row>
  </sheetData>
  <pageMargins left="0.25" right="0.25" top="0.75" bottom="0.75" header="0.3" footer="0.3"/>
  <pageSetup paperSize="5" orientation="landscape" r:id="rId1"/>
  <headerFooter>
    <oddHeader>&amp;LSmallwood
Prime Rate&amp;CHay Township&amp;R2026
Land Analysis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Prime 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Corey Cuddie</cp:lastModifiedBy>
  <cp:lastPrinted>2026-01-19T20:42:56Z</cp:lastPrinted>
  <dcterms:created xsi:type="dcterms:W3CDTF">2026-01-19T20:28:37Z</dcterms:created>
  <dcterms:modified xsi:type="dcterms:W3CDTF">2026-02-19T16:32:38Z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</Properties>
</file>