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284CBC9-C96B-494B-BDFE-AC99AF70A4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ime R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M18" i="1"/>
  <c r="L18" i="1"/>
  <c r="J18" i="1"/>
  <c r="H18" i="1"/>
  <c r="G18" i="1"/>
  <c r="D18" i="1"/>
  <c r="K16" i="1"/>
  <c r="R16" i="1" s="1"/>
  <c r="I16" i="1"/>
  <c r="K15" i="1"/>
  <c r="S15" i="1" s="1"/>
  <c r="I15" i="1"/>
  <c r="K14" i="1"/>
  <c r="R14" i="1" s="1"/>
  <c r="I14" i="1"/>
  <c r="K13" i="1"/>
  <c r="Q13" i="1" s="1"/>
  <c r="I13" i="1"/>
  <c r="K12" i="1"/>
  <c r="Q12" i="1" s="1"/>
  <c r="I12" i="1"/>
  <c r="K11" i="1"/>
  <c r="S11" i="1" s="1"/>
  <c r="I11" i="1"/>
  <c r="K10" i="1"/>
  <c r="S10" i="1" s="1"/>
  <c r="I10" i="1"/>
  <c r="K9" i="1"/>
  <c r="R9" i="1" s="1"/>
  <c r="I9" i="1"/>
  <c r="K8" i="1"/>
  <c r="S8" i="1" s="1"/>
  <c r="I8" i="1"/>
  <c r="K7" i="1"/>
  <c r="S7" i="1" s="1"/>
  <c r="I7" i="1"/>
  <c r="K6" i="1"/>
  <c r="S6" i="1" s="1"/>
  <c r="I6" i="1"/>
  <c r="K5" i="1"/>
  <c r="R5" i="1" s="1"/>
  <c r="I5" i="1"/>
  <c r="K4" i="1"/>
  <c r="R4" i="1" s="1"/>
  <c r="I4" i="1"/>
  <c r="K3" i="1"/>
  <c r="S3" i="1" s="1"/>
  <c r="I3" i="1"/>
  <c r="K2" i="1"/>
  <c r="R2" i="1" s="1"/>
  <c r="I2" i="1"/>
  <c r="I19" i="1" l="1"/>
  <c r="S16" i="1"/>
  <c r="S5" i="1"/>
  <c r="R15" i="1"/>
  <c r="R6" i="1"/>
  <c r="I20" i="1"/>
  <c r="Q6" i="1"/>
  <c r="Q5" i="1"/>
  <c r="S9" i="1"/>
  <c r="R10" i="1"/>
  <c r="K18" i="1"/>
  <c r="S20" i="1" s="1"/>
  <c r="R12" i="1"/>
  <c r="S14" i="1"/>
  <c r="S4" i="1"/>
  <c r="S12" i="1"/>
  <c r="Q15" i="1"/>
  <c r="Q10" i="1"/>
  <c r="Q2" i="1"/>
  <c r="R8" i="1"/>
  <c r="Q11" i="1"/>
  <c r="R13" i="1"/>
  <c r="R11" i="1"/>
  <c r="S13" i="1"/>
  <c r="S2" i="1"/>
  <c r="Q3" i="1"/>
  <c r="Q7" i="1"/>
  <c r="Q8" i="1"/>
  <c r="R3" i="1"/>
  <c r="R7" i="1"/>
  <c r="Q4" i="1"/>
  <c r="Q9" i="1"/>
  <c r="Q14" i="1"/>
  <c r="Q16" i="1"/>
  <c r="P20" i="1" l="1"/>
  <c r="M20" i="1"/>
</calcChain>
</file>

<file path=xl/sharedStrings.xml><?xml version="1.0" encoding="utf-8"?>
<sst xmlns="http://schemas.openxmlformats.org/spreadsheetml/2006/main" count="139" uniqueCount="75">
  <si>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</si>
  <si>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</si>
  <si>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</si>
  <si>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</si>
  <si>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</si>
  <si>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</si>
  <si>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</si>
  <si>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</si>
  <si>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</si>
  <si>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</si>
  <si>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</si>
  <si>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</si>
  <si>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</si>
  <si>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</si>
  <si>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</si>
  <si>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</si>
  <si>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</si>
  <si>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</si>
  <si>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</si>
  <si>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</si>
  <si>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</si>
  <si>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</si>
  <si>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Rate Group 1</t>
  </si>
  <si>
    <t>WD</t>
  </si>
  <si>
    <t>03-ARM'S LENGTH</t>
  </si>
  <si>
    <t/>
  </si>
  <si>
    <t>TITTABAWASSEE RIVER</t>
  </si>
  <si>
    <t>PRIME RATE</t>
  </si>
  <si>
    <t>110-120-000-007-00</t>
  </si>
  <si>
    <t>1501 ELMS PLACE</t>
  </si>
  <si>
    <t>110-120-000-011-00</t>
  </si>
  <si>
    <t>1461 BIRMA TRAIL</t>
  </si>
  <si>
    <t>19-MULTI PARCEL ARM'S LENGTH</t>
  </si>
  <si>
    <t>110-120-000-012-00</t>
  </si>
  <si>
    <t>110-120-000-021-00</t>
  </si>
  <si>
    <t>1399 BIRMA TRAIL</t>
  </si>
  <si>
    <t>110-120-000-022-00</t>
  </si>
  <si>
    <t>1395 BIRMA TRAIL</t>
  </si>
  <si>
    <t>110-120-000-023-10</t>
  </si>
  <si>
    <t>1383 BIRMA TRAIL</t>
  </si>
  <si>
    <t>110-230-000-032-00</t>
  </si>
  <si>
    <t>1710 MAPLE POINT RD</t>
  </si>
  <si>
    <t>110-230-000-040-00</t>
  </si>
  <si>
    <t>1656 MAPLE POINT RD</t>
  </si>
  <si>
    <t>110-300-000-001-00</t>
  </si>
  <si>
    <t>1009 RADOV RD</t>
  </si>
  <si>
    <t>110-300-000-007-00</t>
  </si>
  <si>
    <t>1023 RADOV RD</t>
  </si>
  <si>
    <t>110-302-000-076-00</t>
  </si>
  <si>
    <t>110-300-000-014-00</t>
  </si>
  <si>
    <t>1053 RADOV RD</t>
  </si>
  <si>
    <t>110-302-000-082-10</t>
  </si>
  <si>
    <t>110-300-000-019-00</t>
  </si>
  <si>
    <t>1075 RADOV RD</t>
  </si>
  <si>
    <t>110-302-000-088-10</t>
  </si>
  <si>
    <t>110-300-000-066-00</t>
  </si>
  <si>
    <t>1265 RADOV RD</t>
  </si>
  <si>
    <t>110-302-000-125-00</t>
  </si>
  <si>
    <t>110-300-000-067-00</t>
  </si>
  <si>
    <t>1273 RADOV RD</t>
  </si>
  <si>
    <t>110-302-000-126-00</t>
  </si>
  <si>
    <t>110-371-000-018-00</t>
  </si>
  <si>
    <t>2144 WALTER RD</t>
  </si>
  <si>
    <t>110-375-000-332-00</t>
  </si>
  <si>
    <t>110-371-000-074-00</t>
  </si>
  <si>
    <t>2418 S WHITNEY BEACH RD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</si>
  <si>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</si>
  <si>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</si>
  <si>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</si>
  <si>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</si>
  <si>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</si>
  <si>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</si>
  <si>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</si>
  <si>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$450/ff in 2025</t>
  </si>
  <si>
    <t>Used $450/ff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</si>
</sst>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view="pageLayout" zoomScaleNormal="100" workbookViewId="0">
      <selection activeCell="A22" sqref="A22"/>
    </sheetView>
  </sheetViews>
  <sheetFormatPr defaultRowHeight="15" x14ac:dyDescent="0.25"/>
  <cols>
    <col min="1" max="1" width="20.7109375" bestFit="1" customWidth="1" collapsed="1"/>
    <col min="2" max="2" width="23.85546875" customWidth="1" collapsed="1"/>
    <col min="3" max="3" width="13.7109375" bestFit="1" customWidth="1" collapsed="1"/>
    <col min="4" max="4" width="11.7109375" bestFit="1" customWidth="1" collapsed="1"/>
    <col min="5" max="5" width="6.85546875" customWidth="1" collapsed="1"/>
    <col min="6" max="6" width="29.140625" customWidth="1" collapsed="1"/>
    <col min="7" max="7" width="12.7109375" bestFit="1" customWidth="1" collapsed="1"/>
    <col min="8" max="8" width="12.7109375" customWidth="1" collapsed="1"/>
    <col min="9" max="9" width="12.5703125" customWidth="1" collapsed="1"/>
    <col min="10" max="10" width="13.28515625" customWidth="1" collapsed="1"/>
    <col min="11" max="11" width="12.7109375" customWidth="1" collapsed="1"/>
    <col min="12" max="12" width="14" customWidth="1" collapsed="1"/>
    <col min="13" max="13" width="11.28515625" customWidth="1" collapsed="1"/>
    <col min="14" max="14" width="8.7109375" bestFit="1" customWidth="1" collapsed="1"/>
    <col min="15" max="15" width="12.28515625" customWidth="1" collapsed="1"/>
    <col min="16" max="16" width="10.5703125" customWidth="1" collapsed="1"/>
    <col min="17" max="17" width="12.7109375" bestFit="1" customWidth="1" collapsed="1"/>
    <col min="18" max="18" width="14.7109375" bestFit="1" customWidth="1" collapsed="1"/>
    <col min="19" max="19" width="10.5703125" customWidth="1" collapsed="1"/>
    <col min="20" max="20" width="12" customWidth="1" collapsed="1"/>
    <col min="21" max="21" width="20" customWidth="1" collapsed="1"/>
    <col min="22" max="22" width="23.7109375" bestFit="1" customWidth="1" collapsed="1"/>
    <col min="23" max="23" width="14.7109375" bestFit="1" customWidth="1" collapsed="1"/>
  </cols>
  <sheetData>
    <row r="1" spans="1:23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17" t="s">
        <v>28</v>
      </c>
      <c r="B2" s="17" t="s">
        <v>29</v>
      </c>
      <c r="C2" s="18">
        <v>45569</v>
      </c>
      <c r="D2" s="19">
        <v>85000</v>
      </c>
      <c r="E2" s="17" t="s">
        <v>23</v>
      </c>
      <c r="F2" s="17" t="s">
        <v>24</v>
      </c>
      <c r="G2" s="19">
        <v>85000</v>
      </c>
      <c r="H2" s="19">
        <v>35100</v>
      </c>
      <c r="I2" s="20">
        <f t="shared" ref="I2:I16" si="0">H2/G2*100</f>
        <v>41.294117647058826</v>
      </c>
      <c r="J2" s="19">
        <v>78771</v>
      </c>
      <c r="K2" s="19">
        <f>G2-45471</f>
        <v>39529</v>
      </c>
      <c r="L2" s="19">
        <v>33300</v>
      </c>
      <c r="M2" s="21">
        <v>74</v>
      </c>
      <c r="N2" s="22">
        <v>185</v>
      </c>
      <c r="O2" s="23">
        <v>0.314</v>
      </c>
      <c r="P2" s="23">
        <v>0.314</v>
      </c>
      <c r="Q2" s="19">
        <f t="shared" ref="Q2:Q16" si="1">K2/M2</f>
        <v>534.17567567567562</v>
      </c>
      <c r="R2" s="19">
        <f t="shared" ref="R2:R16" si="2">K2/O2</f>
        <v>125888.53503184713</v>
      </c>
      <c r="S2" s="24">
        <f t="shared" ref="S2:S16" si="3">K2/O2/43560</f>
        <v>2.8900030999046633</v>
      </c>
      <c r="T2" s="23">
        <v>74</v>
      </c>
      <c r="U2" s="17" t="s">
        <v>25</v>
      </c>
      <c r="V2" s="17" t="s">
        <v>26</v>
      </c>
      <c r="W2" s="17" t="s">
        <v>27</v>
      </c>
    </row>
    <row r="3" spans="1:23" x14ac:dyDescent="0.25">
      <c r="A3" s="9" t="s">
        <v>30</v>
      </c>
      <c r="B3" s="9" t="s">
        <v>31</v>
      </c>
      <c r="C3" s="10">
        <v>45987</v>
      </c>
      <c r="D3" s="11">
        <v>140000</v>
      </c>
      <c r="E3" s="9" t="s">
        <v>23</v>
      </c>
      <c r="F3" s="9" t="s">
        <v>32</v>
      </c>
      <c r="G3" s="11">
        <v>140000</v>
      </c>
      <c r="H3" s="11">
        <v>71600</v>
      </c>
      <c r="I3" s="12">
        <f t="shared" si="0"/>
        <v>51.142857142857146</v>
      </c>
      <c r="J3" s="11">
        <v>145476</v>
      </c>
      <c r="K3" s="11">
        <f>G3-85105</f>
        <v>54895</v>
      </c>
      <c r="L3" s="11">
        <v>60750</v>
      </c>
      <c r="M3" s="13">
        <v>135</v>
      </c>
      <c r="N3" s="14">
        <v>443</v>
      </c>
      <c r="O3" s="15">
        <v>0.68700000000000006</v>
      </c>
      <c r="P3" s="15">
        <v>0.379</v>
      </c>
      <c r="Q3" s="11">
        <f t="shared" si="1"/>
        <v>406.62962962962962</v>
      </c>
      <c r="R3" s="11">
        <f t="shared" si="2"/>
        <v>79905.385735080054</v>
      </c>
      <c r="S3" s="16">
        <f t="shared" si="3"/>
        <v>1.8343752464435275</v>
      </c>
      <c r="T3" s="15">
        <v>135</v>
      </c>
      <c r="U3" s="9" t="s">
        <v>33</v>
      </c>
      <c r="V3" s="9" t="s">
        <v>26</v>
      </c>
      <c r="W3" s="9" t="s">
        <v>27</v>
      </c>
    </row>
    <row r="4" spans="1:23" x14ac:dyDescent="0.25">
      <c r="A4" s="17" t="s">
        <v>34</v>
      </c>
      <c r="B4" s="17" t="s">
        <v>35</v>
      </c>
      <c r="C4" s="18">
        <v>45394</v>
      </c>
      <c r="D4" s="19">
        <v>45000</v>
      </c>
      <c r="E4" s="17" t="s">
        <v>23</v>
      </c>
      <c r="F4" s="17" t="s">
        <v>24</v>
      </c>
      <c r="G4" s="19">
        <v>45000</v>
      </c>
      <c r="H4" s="19">
        <v>16700</v>
      </c>
      <c r="I4" s="20">
        <f t="shared" si="0"/>
        <v>37.111111111111114</v>
      </c>
      <c r="J4" s="19">
        <v>36482</v>
      </c>
      <c r="K4" s="19">
        <f>G4-8132</f>
        <v>36868</v>
      </c>
      <c r="L4" s="19">
        <v>28350</v>
      </c>
      <c r="M4" s="21">
        <v>63</v>
      </c>
      <c r="N4" s="22">
        <v>362</v>
      </c>
      <c r="O4" s="23">
        <v>0.52400000000000002</v>
      </c>
      <c r="P4" s="23">
        <v>0.52400000000000002</v>
      </c>
      <c r="Q4" s="19">
        <f t="shared" si="1"/>
        <v>585.20634920634916</v>
      </c>
      <c r="R4" s="19">
        <f t="shared" si="2"/>
        <v>70358.77862595419</v>
      </c>
      <c r="S4" s="24">
        <f t="shared" si="3"/>
        <v>1.6152153036261292</v>
      </c>
      <c r="T4" s="23">
        <v>63</v>
      </c>
      <c r="U4" s="17" t="s">
        <v>25</v>
      </c>
      <c r="V4" s="17" t="s">
        <v>26</v>
      </c>
      <c r="W4" s="17" t="s">
        <v>27</v>
      </c>
    </row>
    <row r="5" spans="1:23" x14ac:dyDescent="0.25">
      <c r="A5" s="9" t="s">
        <v>36</v>
      </c>
      <c r="B5" s="9" t="s">
        <v>37</v>
      </c>
      <c r="C5" s="10">
        <v>45526</v>
      </c>
      <c r="D5" s="11">
        <v>86500</v>
      </c>
      <c r="E5" s="9" t="s">
        <v>23</v>
      </c>
      <c r="F5" s="9" t="s">
        <v>24</v>
      </c>
      <c r="G5" s="11">
        <v>86500</v>
      </c>
      <c r="H5" s="11">
        <v>27900</v>
      </c>
      <c r="I5" s="12">
        <f t="shared" si="0"/>
        <v>32.25433526011561</v>
      </c>
      <c r="J5" s="11">
        <v>81392</v>
      </c>
      <c r="K5" s="11">
        <f>G5-50342</f>
        <v>36158</v>
      </c>
      <c r="L5" s="11">
        <v>31050</v>
      </c>
      <c r="M5" s="13">
        <v>69</v>
      </c>
      <c r="N5" s="14">
        <v>406</v>
      </c>
      <c r="O5" s="15">
        <v>0.64300000000000002</v>
      </c>
      <c r="P5" s="15">
        <v>0.64300000000000002</v>
      </c>
      <c r="Q5" s="11">
        <f t="shared" si="1"/>
        <v>524.02898550724638</v>
      </c>
      <c r="R5" s="11">
        <f t="shared" si="2"/>
        <v>56233.281493001552</v>
      </c>
      <c r="S5" s="16">
        <f t="shared" si="3"/>
        <v>1.2909385099403479</v>
      </c>
      <c r="T5" s="15">
        <v>69</v>
      </c>
      <c r="U5" s="9" t="s">
        <v>25</v>
      </c>
      <c r="V5" s="9" t="s">
        <v>26</v>
      </c>
      <c r="W5" s="9" t="s">
        <v>27</v>
      </c>
    </row>
    <row r="6" spans="1:23" x14ac:dyDescent="0.25">
      <c r="A6" s="9" t="s">
        <v>38</v>
      </c>
      <c r="B6" s="9" t="s">
        <v>39</v>
      </c>
      <c r="C6" s="10">
        <v>45146</v>
      </c>
      <c r="D6" s="11">
        <v>106000</v>
      </c>
      <c r="E6" s="9" t="s">
        <v>23</v>
      </c>
      <c r="F6" s="9" t="s">
        <v>24</v>
      </c>
      <c r="G6" s="11">
        <v>106000</v>
      </c>
      <c r="H6" s="11">
        <v>43600</v>
      </c>
      <c r="I6" s="12">
        <f t="shared" si="0"/>
        <v>41.132075471698116</v>
      </c>
      <c r="J6" s="11">
        <v>121084</v>
      </c>
      <c r="K6" s="11">
        <f>G6-59884</f>
        <v>46116</v>
      </c>
      <c r="L6" s="11">
        <v>61200</v>
      </c>
      <c r="M6" s="13">
        <v>136</v>
      </c>
      <c r="N6" s="14">
        <v>450</v>
      </c>
      <c r="O6" s="15">
        <v>1.405</v>
      </c>
      <c r="P6" s="15">
        <v>1.405</v>
      </c>
      <c r="Q6" s="11">
        <f t="shared" si="1"/>
        <v>339.08823529411762</v>
      </c>
      <c r="R6" s="11">
        <f t="shared" si="2"/>
        <v>32822.775800711745</v>
      </c>
      <c r="S6" s="16">
        <f t="shared" si="3"/>
        <v>0.75350724978677097</v>
      </c>
      <c r="T6" s="15">
        <v>136</v>
      </c>
      <c r="U6" s="9" t="s">
        <v>25</v>
      </c>
      <c r="V6" s="9" t="s">
        <v>26</v>
      </c>
      <c r="W6" s="9" t="s">
        <v>27</v>
      </c>
    </row>
    <row r="7" spans="1:23" x14ac:dyDescent="0.25">
      <c r="A7" s="9" t="s">
        <v>40</v>
      </c>
      <c r="B7" s="9" t="s">
        <v>41</v>
      </c>
      <c r="C7" s="10">
        <v>45475</v>
      </c>
      <c r="D7" s="11">
        <v>40000</v>
      </c>
      <c r="E7" s="9" t="s">
        <v>23</v>
      </c>
      <c r="F7" s="9" t="s">
        <v>24</v>
      </c>
      <c r="G7" s="11">
        <v>40000</v>
      </c>
      <c r="H7" s="11">
        <v>27600</v>
      </c>
      <c r="I7" s="12">
        <f t="shared" si="0"/>
        <v>69</v>
      </c>
      <c r="J7" s="11">
        <v>62100</v>
      </c>
      <c r="K7" s="11">
        <f>G7-0</f>
        <v>40000</v>
      </c>
      <c r="L7" s="11">
        <v>62100</v>
      </c>
      <c r="M7" s="13">
        <v>138</v>
      </c>
      <c r="N7" s="14">
        <v>103</v>
      </c>
      <c r="O7" s="15">
        <v>0.32600000000000001</v>
      </c>
      <c r="P7" s="15">
        <v>0.32600000000000001</v>
      </c>
      <c r="Q7" s="11">
        <f t="shared" si="1"/>
        <v>289.85507246376812</v>
      </c>
      <c r="R7" s="11">
        <f t="shared" si="2"/>
        <v>122699.38650306748</v>
      </c>
      <c r="S7" s="16">
        <f t="shared" si="3"/>
        <v>2.8167903237618797</v>
      </c>
      <c r="T7" s="15">
        <v>138</v>
      </c>
      <c r="U7" s="9" t="s">
        <v>25</v>
      </c>
      <c r="V7" s="9" t="s">
        <v>26</v>
      </c>
      <c r="W7" s="9" t="s">
        <v>27</v>
      </c>
    </row>
    <row r="8" spans="1:23" x14ac:dyDescent="0.25">
      <c r="A8" s="17" t="s">
        <v>42</v>
      </c>
      <c r="B8" s="17" t="s">
        <v>43</v>
      </c>
      <c r="C8" s="18">
        <v>45954</v>
      </c>
      <c r="D8" s="19">
        <v>62000</v>
      </c>
      <c r="E8" s="17" t="s">
        <v>23</v>
      </c>
      <c r="F8" s="17" t="s">
        <v>24</v>
      </c>
      <c r="G8" s="19">
        <v>62000</v>
      </c>
      <c r="H8" s="19">
        <v>24600</v>
      </c>
      <c r="I8" s="20">
        <f t="shared" si="0"/>
        <v>39.677419354838712</v>
      </c>
      <c r="J8" s="19">
        <v>49296</v>
      </c>
      <c r="K8" s="19">
        <f>G8-15546</f>
        <v>46454</v>
      </c>
      <c r="L8" s="19">
        <v>33750</v>
      </c>
      <c r="M8" s="21">
        <v>75</v>
      </c>
      <c r="N8" s="22">
        <v>362</v>
      </c>
      <c r="O8" s="23">
        <v>0.623</v>
      </c>
      <c r="P8" s="23">
        <v>0.623</v>
      </c>
      <c r="Q8" s="19">
        <f t="shared" si="1"/>
        <v>619.38666666666666</v>
      </c>
      <c r="R8" s="19">
        <f t="shared" si="2"/>
        <v>74565.008025682182</v>
      </c>
      <c r="S8" s="24">
        <f t="shared" si="3"/>
        <v>1.7117770437484432</v>
      </c>
      <c r="T8" s="23">
        <v>75</v>
      </c>
      <c r="U8" s="17" t="s">
        <v>25</v>
      </c>
      <c r="V8" s="17" t="s">
        <v>26</v>
      </c>
      <c r="W8" s="17" t="s">
        <v>27</v>
      </c>
    </row>
    <row r="9" spans="1:23" x14ac:dyDescent="0.25">
      <c r="A9" s="17" t="s">
        <v>44</v>
      </c>
      <c r="B9" s="17" t="s">
        <v>45</v>
      </c>
      <c r="C9" s="18">
        <v>45600</v>
      </c>
      <c r="D9" s="19">
        <v>211000</v>
      </c>
      <c r="E9" s="17" t="s">
        <v>23</v>
      </c>
      <c r="F9" s="17" t="s">
        <v>24</v>
      </c>
      <c r="G9" s="19">
        <v>211000</v>
      </c>
      <c r="H9" s="19">
        <v>90800</v>
      </c>
      <c r="I9" s="20">
        <f t="shared" si="0"/>
        <v>43.03317535545024</v>
      </c>
      <c r="J9" s="19">
        <v>205815</v>
      </c>
      <c r="K9" s="19">
        <f>G9-149115</f>
        <v>61885</v>
      </c>
      <c r="L9" s="19">
        <v>56700</v>
      </c>
      <c r="M9" s="21">
        <v>126</v>
      </c>
      <c r="N9" s="22">
        <v>233</v>
      </c>
      <c r="O9" s="23">
        <v>0.67400000000000004</v>
      </c>
      <c r="P9" s="23">
        <v>0.67400000000000004</v>
      </c>
      <c r="Q9" s="19">
        <f t="shared" si="1"/>
        <v>491.15079365079367</v>
      </c>
      <c r="R9" s="19">
        <f t="shared" si="2"/>
        <v>91817.507418397625</v>
      </c>
      <c r="S9" s="24">
        <f t="shared" si="3"/>
        <v>2.1078399315518279</v>
      </c>
      <c r="T9" s="23">
        <v>126</v>
      </c>
      <c r="U9" s="17" t="s">
        <v>25</v>
      </c>
      <c r="V9" s="17" t="s">
        <v>26</v>
      </c>
      <c r="W9" s="17" t="s">
        <v>27</v>
      </c>
    </row>
    <row r="10" spans="1:23" x14ac:dyDescent="0.25">
      <c r="A10" s="9" t="s">
        <v>46</v>
      </c>
      <c r="B10" s="9" t="s">
        <v>47</v>
      </c>
      <c r="C10" s="10">
        <v>45580</v>
      </c>
      <c r="D10" s="11">
        <v>188500</v>
      </c>
      <c r="E10" s="9" t="s">
        <v>23</v>
      </c>
      <c r="F10" s="9" t="s">
        <v>32</v>
      </c>
      <c r="G10" s="11">
        <v>188500</v>
      </c>
      <c r="H10" s="11">
        <v>64200</v>
      </c>
      <c r="I10" s="12">
        <f t="shared" si="0"/>
        <v>34.058355437665782</v>
      </c>
      <c r="J10" s="11">
        <v>136171</v>
      </c>
      <c r="K10" s="11">
        <f>G10-107633</f>
        <v>80867</v>
      </c>
      <c r="L10" s="11">
        <v>28538</v>
      </c>
      <c r="M10" s="13">
        <v>120.5</v>
      </c>
      <c r="N10" s="14">
        <v>463</v>
      </c>
      <c r="O10" s="15">
        <v>0.64</v>
      </c>
      <c r="P10" s="15">
        <v>0.43</v>
      </c>
      <c r="Q10" s="11">
        <f t="shared" si="1"/>
        <v>671.09543568464733</v>
      </c>
      <c r="R10" s="11">
        <f t="shared" si="2"/>
        <v>126354.6875</v>
      </c>
      <c r="S10" s="16">
        <f t="shared" si="3"/>
        <v>2.9007044880624426</v>
      </c>
      <c r="T10" s="15">
        <v>120.5</v>
      </c>
      <c r="U10" s="9" t="s">
        <v>48</v>
      </c>
      <c r="V10" s="9" t="s">
        <v>26</v>
      </c>
      <c r="W10" s="9" t="s">
        <v>27</v>
      </c>
    </row>
    <row r="11" spans="1:23" x14ac:dyDescent="0.25">
      <c r="A11" s="17" t="s">
        <v>49</v>
      </c>
      <c r="B11" s="17" t="s">
        <v>50</v>
      </c>
      <c r="C11" s="18">
        <v>45982</v>
      </c>
      <c r="D11" s="19">
        <v>142000</v>
      </c>
      <c r="E11" s="17" t="s">
        <v>23</v>
      </c>
      <c r="F11" s="17" t="s">
        <v>24</v>
      </c>
      <c r="G11" s="19">
        <v>142000</v>
      </c>
      <c r="H11" s="19">
        <v>57100</v>
      </c>
      <c r="I11" s="20">
        <f t="shared" si="0"/>
        <v>40.211267605633807</v>
      </c>
      <c r="J11" s="19">
        <v>113419</v>
      </c>
      <c r="K11" s="19">
        <f>G11-74200</f>
        <v>67800</v>
      </c>
      <c r="L11" s="19">
        <v>39450</v>
      </c>
      <c r="M11" s="21">
        <v>181</v>
      </c>
      <c r="N11" s="22">
        <v>422</v>
      </c>
      <c r="O11" s="23">
        <v>0.79400000000000004</v>
      </c>
      <c r="P11" s="23">
        <v>0.38100000000000001</v>
      </c>
      <c r="Q11" s="19">
        <f t="shared" si="1"/>
        <v>374.585635359116</v>
      </c>
      <c r="R11" s="19">
        <f t="shared" si="2"/>
        <v>85390.428211586899</v>
      </c>
      <c r="S11" s="24">
        <f t="shared" si="3"/>
        <v>1.9602944952154935</v>
      </c>
      <c r="T11" s="23">
        <v>181</v>
      </c>
      <c r="U11" s="17" t="s">
        <v>51</v>
      </c>
      <c r="V11" s="17" t="s">
        <v>26</v>
      </c>
      <c r="W11" s="17" t="s">
        <v>27</v>
      </c>
    </row>
    <row r="12" spans="1:23" x14ac:dyDescent="0.25">
      <c r="A12" s="9" t="s">
        <v>52</v>
      </c>
      <c r="B12" s="9" t="s">
        <v>53</v>
      </c>
      <c r="C12" s="10">
        <v>45502</v>
      </c>
      <c r="D12" s="11">
        <v>185000</v>
      </c>
      <c r="E12" s="9" t="s">
        <v>23</v>
      </c>
      <c r="F12" s="9" t="s">
        <v>32</v>
      </c>
      <c r="G12" s="11">
        <v>185000</v>
      </c>
      <c r="H12" s="11">
        <v>76500</v>
      </c>
      <c r="I12" s="12">
        <f t="shared" si="0"/>
        <v>41.351351351351354</v>
      </c>
      <c r="J12" s="11">
        <v>150538</v>
      </c>
      <c r="K12" s="11">
        <f>G12-120838</f>
        <v>64162</v>
      </c>
      <c r="L12" s="11">
        <v>29700</v>
      </c>
      <c r="M12" s="13">
        <v>123</v>
      </c>
      <c r="N12" s="14">
        <v>402</v>
      </c>
      <c r="O12" s="15">
        <v>0.57099999999999995</v>
      </c>
      <c r="P12" s="15">
        <v>0.36399999999999999</v>
      </c>
      <c r="Q12" s="11">
        <f t="shared" si="1"/>
        <v>521.64227642276421</v>
      </c>
      <c r="R12" s="11">
        <f t="shared" si="2"/>
        <v>112367.77583187392</v>
      </c>
      <c r="S12" s="16">
        <f t="shared" si="3"/>
        <v>2.5796091788768116</v>
      </c>
      <c r="T12" s="15">
        <v>123</v>
      </c>
      <c r="U12" s="9" t="s">
        <v>54</v>
      </c>
      <c r="V12" s="9" t="s">
        <v>26</v>
      </c>
      <c r="W12" s="9" t="s">
        <v>27</v>
      </c>
    </row>
    <row r="13" spans="1:23" x14ac:dyDescent="0.25">
      <c r="A13" s="17" t="s">
        <v>55</v>
      </c>
      <c r="B13" s="17" t="s">
        <v>56</v>
      </c>
      <c r="C13" s="18">
        <v>45170</v>
      </c>
      <c r="D13" s="19">
        <v>162000</v>
      </c>
      <c r="E13" s="17" t="s">
        <v>23</v>
      </c>
      <c r="F13" s="17" t="s">
        <v>32</v>
      </c>
      <c r="G13" s="19">
        <v>162000</v>
      </c>
      <c r="H13" s="19">
        <v>31400</v>
      </c>
      <c r="I13" s="20">
        <f t="shared" si="0"/>
        <v>19.382716049382719</v>
      </c>
      <c r="J13" s="19">
        <v>101344</v>
      </c>
      <c r="K13" s="19">
        <f>G13-88704</f>
        <v>73296</v>
      </c>
      <c r="L13" s="19">
        <v>12640</v>
      </c>
      <c r="M13" s="21">
        <v>128</v>
      </c>
      <c r="N13" s="22">
        <v>325</v>
      </c>
      <c r="O13" s="23">
        <v>0.47599999999999998</v>
      </c>
      <c r="P13" s="23">
        <v>0.249</v>
      </c>
      <c r="Q13" s="19">
        <f t="shared" si="1"/>
        <v>572.625</v>
      </c>
      <c r="R13" s="19">
        <f t="shared" si="2"/>
        <v>153983.19327731093</v>
      </c>
      <c r="S13" s="24">
        <f t="shared" si="3"/>
        <v>3.534967706090701</v>
      </c>
      <c r="T13" s="23">
        <v>128</v>
      </c>
      <c r="U13" s="17" t="s">
        <v>57</v>
      </c>
      <c r="V13" s="17" t="s">
        <v>26</v>
      </c>
      <c r="W13" s="17" t="s">
        <v>27</v>
      </c>
    </row>
    <row r="14" spans="1:23" x14ac:dyDescent="0.25">
      <c r="A14" s="17" t="s">
        <v>58</v>
      </c>
      <c r="B14" s="17" t="s">
        <v>59</v>
      </c>
      <c r="C14" s="18">
        <v>45097</v>
      </c>
      <c r="D14" s="19">
        <v>148000</v>
      </c>
      <c r="E14" s="17" t="s">
        <v>23</v>
      </c>
      <c r="F14" s="17" t="s">
        <v>32</v>
      </c>
      <c r="G14" s="19">
        <v>148000</v>
      </c>
      <c r="H14" s="19">
        <v>34800</v>
      </c>
      <c r="I14" s="20">
        <f t="shared" si="0"/>
        <v>23.513513513513516</v>
      </c>
      <c r="J14" s="19">
        <v>68859</v>
      </c>
      <c r="K14" s="19">
        <f>G14-42419</f>
        <v>105581</v>
      </c>
      <c r="L14" s="19">
        <v>26440</v>
      </c>
      <c r="M14" s="21">
        <v>242</v>
      </c>
      <c r="N14" s="22">
        <v>327</v>
      </c>
      <c r="O14" s="23">
        <v>0.92500000000000004</v>
      </c>
      <c r="P14" s="23">
        <v>0.60499999999999998</v>
      </c>
      <c r="Q14" s="19">
        <f t="shared" si="1"/>
        <v>436.28512396694214</v>
      </c>
      <c r="R14" s="19">
        <f t="shared" si="2"/>
        <v>114141.62162162161</v>
      </c>
      <c r="S14" s="24">
        <f t="shared" si="3"/>
        <v>2.6203310748765292</v>
      </c>
      <c r="T14" s="23">
        <v>242</v>
      </c>
      <c r="U14" s="17" t="s">
        <v>60</v>
      </c>
      <c r="V14" s="17" t="s">
        <v>26</v>
      </c>
      <c r="W14" s="17" t="s">
        <v>27</v>
      </c>
    </row>
    <row r="15" spans="1:23" x14ac:dyDescent="0.25">
      <c r="A15" s="17" t="s">
        <v>61</v>
      </c>
      <c r="B15" s="17" t="s">
        <v>62</v>
      </c>
      <c r="C15" s="18">
        <v>45191</v>
      </c>
      <c r="D15" s="19">
        <v>140000</v>
      </c>
      <c r="E15" s="17" t="s">
        <v>23</v>
      </c>
      <c r="F15" s="17" t="s">
        <v>32</v>
      </c>
      <c r="G15" s="19">
        <v>140000</v>
      </c>
      <c r="H15" s="19">
        <v>43400</v>
      </c>
      <c r="I15" s="20">
        <f t="shared" si="0"/>
        <v>31</v>
      </c>
      <c r="J15" s="19">
        <v>97926</v>
      </c>
      <c r="K15" s="19">
        <f>G15-77926</f>
        <v>62074</v>
      </c>
      <c r="L15" s="19">
        <v>20000</v>
      </c>
      <c r="M15" s="21">
        <v>150</v>
      </c>
      <c r="N15" s="22">
        <v>125</v>
      </c>
      <c r="O15" s="23">
        <v>0.14299999999999999</v>
      </c>
      <c r="P15" s="23">
        <v>0.14299999999999999</v>
      </c>
      <c r="Q15" s="19">
        <f t="shared" si="1"/>
        <v>413.82666666666665</v>
      </c>
      <c r="R15" s="19">
        <f t="shared" si="2"/>
        <v>434083.91608391615</v>
      </c>
      <c r="S15" s="24">
        <f t="shared" si="3"/>
        <v>9.9651955023855869</v>
      </c>
      <c r="T15" s="23">
        <v>150</v>
      </c>
      <c r="U15" s="17" t="s">
        <v>63</v>
      </c>
      <c r="V15" s="17" t="s">
        <v>26</v>
      </c>
      <c r="W15" s="17" t="s">
        <v>27</v>
      </c>
    </row>
    <row r="16" spans="1:23" x14ac:dyDescent="0.25">
      <c r="A16" s="17" t="s">
        <v>64</v>
      </c>
      <c r="B16" s="17" t="s">
        <v>65</v>
      </c>
      <c r="C16" s="18">
        <v>45224</v>
      </c>
      <c r="D16" s="19">
        <v>208500</v>
      </c>
      <c r="E16" s="17" t="s">
        <v>23</v>
      </c>
      <c r="F16" s="17" t="s">
        <v>24</v>
      </c>
      <c r="G16" s="19">
        <v>208500</v>
      </c>
      <c r="H16" s="19">
        <v>69200</v>
      </c>
      <c r="I16" s="20">
        <f t="shared" si="0"/>
        <v>33.189448441247002</v>
      </c>
      <c r="J16" s="19">
        <v>194317</v>
      </c>
      <c r="K16" s="19">
        <f>G16-151567</f>
        <v>56933</v>
      </c>
      <c r="L16" s="19">
        <v>42750</v>
      </c>
      <c r="M16" s="21">
        <v>95</v>
      </c>
      <c r="N16" s="22">
        <v>100</v>
      </c>
      <c r="O16" s="23">
        <v>0.218</v>
      </c>
      <c r="P16" s="23">
        <v>0.218</v>
      </c>
      <c r="Q16" s="19">
        <f t="shared" si="1"/>
        <v>599.29473684210529</v>
      </c>
      <c r="R16" s="19">
        <f t="shared" si="2"/>
        <v>261160.55045871559</v>
      </c>
      <c r="S16" s="24">
        <f t="shared" si="3"/>
        <v>5.995421268565555</v>
      </c>
      <c r="T16" s="23">
        <v>95</v>
      </c>
      <c r="U16" s="17" t="s">
        <v>25</v>
      </c>
      <c r="V16" s="17" t="s">
        <v>26</v>
      </c>
      <c r="W16" s="17" t="s">
        <v>27</v>
      </c>
    </row>
    <row r="17" spans="1:23" x14ac:dyDescent="0.25">
      <c r="A17" s="9"/>
      <c r="B17" s="9"/>
      <c r="C17" s="10"/>
      <c r="D17" s="11"/>
      <c r="E17" s="9"/>
      <c r="F17" s="9"/>
      <c r="G17" s="11"/>
      <c r="H17" s="11"/>
      <c r="I17" s="12"/>
      <c r="J17" s="11"/>
      <c r="K17" s="11"/>
      <c r="L17" s="11"/>
      <c r="M17" s="13"/>
      <c r="N17" s="14"/>
      <c r="O17" s="15"/>
      <c r="P17" s="15"/>
      <c r="Q17" s="11"/>
      <c r="R17" s="11"/>
      <c r="S17" s="16"/>
      <c r="T17" s="15"/>
      <c r="U17" s="9"/>
      <c r="V17" s="9"/>
      <c r="W17" s="9"/>
    </row>
    <row r="18" spans="1:23" x14ac:dyDescent="0.25">
      <c r="A18" s="33"/>
      <c r="B18" s="33"/>
      <c r="C18" s="34" t="s">
        <v>66</v>
      </c>
      <c r="D18" s="35">
        <f>+SUM(D2:D17)</f>
        <v>1949500</v>
      </c>
      <c r="E18" s="33"/>
      <c r="F18" s="33"/>
      <c r="G18" s="35">
        <f>+SUM(G2:G17)</f>
        <v>1949500</v>
      </c>
      <c r="H18" s="35">
        <f>+SUM(H2:H17)</f>
        <v>714500</v>
      </c>
      <c r="I18" s="36"/>
      <c r="J18" s="35">
        <f>+SUM(J2:J17)</f>
        <v>1642990</v>
      </c>
      <c r="K18" s="35">
        <f>+SUM(K2:K17)</f>
        <v>872618</v>
      </c>
      <c r="L18" s="35">
        <f>+SUM(L2:L17)</f>
        <v>566718</v>
      </c>
      <c r="M18" s="37">
        <f>+SUM(M2:M17)</f>
        <v>1855.5</v>
      </c>
      <c r="N18" s="38"/>
      <c r="O18" s="39">
        <f>+SUM(O2:O17)</f>
        <v>8.963000000000001</v>
      </c>
      <c r="P18" s="39">
        <f>+SUM(P2:P17)</f>
        <v>7.2779999999999996</v>
      </c>
      <c r="Q18" s="35"/>
      <c r="R18" s="35"/>
      <c r="S18" s="40"/>
      <c r="T18" s="39"/>
      <c r="U18" s="33"/>
      <c r="V18" s="33"/>
      <c r="W18" s="33"/>
    </row>
    <row r="19" spans="1:23" x14ac:dyDescent="0.25">
      <c r="A19" s="25"/>
      <c r="B19" s="25"/>
      <c r="C19" s="26"/>
      <c r="D19" s="27"/>
      <c r="E19" s="25"/>
      <c r="F19" s="25"/>
      <c r="G19" s="27"/>
      <c r="H19" s="27" t="s">
        <v>67</v>
      </c>
      <c r="I19" s="28">
        <f>H18/G18*100</f>
        <v>36.65042318543216</v>
      </c>
      <c r="J19" s="27"/>
      <c r="K19" s="27"/>
      <c r="L19" s="27" t="s">
        <v>69</v>
      </c>
      <c r="M19" s="29"/>
      <c r="N19" s="30"/>
      <c r="O19" s="31" t="s">
        <v>69</v>
      </c>
      <c r="P19" s="31"/>
      <c r="Q19" s="27"/>
      <c r="R19" s="27" t="s">
        <v>69</v>
      </c>
      <c r="S19" s="32"/>
      <c r="T19" s="31"/>
      <c r="U19" s="25"/>
      <c r="V19" s="25"/>
      <c r="W19" s="25"/>
    </row>
    <row r="20" spans="1:23" x14ac:dyDescent="0.25">
      <c r="A20" s="41"/>
      <c r="B20" s="41"/>
      <c r="C20" s="42"/>
      <c r="D20" s="43"/>
      <c r="E20" s="41"/>
      <c r="F20" s="41"/>
      <c r="G20" s="43"/>
      <c r="H20" s="43" t="s">
        <v>68</v>
      </c>
      <c r="I20" s="44">
        <f>STDEV(I2:I17)</f>
        <v>11.566585957995164</v>
      </c>
      <c r="J20" s="43"/>
      <c r="K20" s="43"/>
      <c r="L20" s="43" t="s">
        <v>70</v>
      </c>
      <c r="M20" s="48">
        <f>K18/M18</f>
        <v>470.2872541094045</v>
      </c>
      <c r="N20" s="45"/>
      <c r="O20" s="46" t="s">
        <v>71</v>
      </c>
      <c r="P20" s="46">
        <f>K18/O18</f>
        <v>97357.804306593767</v>
      </c>
      <c r="Q20" s="43"/>
      <c r="R20" s="43" t="s">
        <v>72</v>
      </c>
      <c r="S20" s="47">
        <f>K18/O18/43560</f>
        <v>2.2350276470751553</v>
      </c>
      <c r="T20" s="46"/>
      <c r="U20" s="41"/>
      <c r="V20" s="41"/>
      <c r="W20" s="41"/>
    </row>
    <row r="22" spans="1:23" x14ac:dyDescent="0.25">
      <c r="L22" t="s">
        <v>74</v>
      </c>
      <c r="O22" s="49" t="s">
        <v>73</v>
      </c>
    </row>
  </sheetData>
  <pageMargins left="0.25" right="0.25" top="0.75" bottom="0.75" header="0.3" footer="0.3"/>
  <pageSetup paperSize="5" orientation="landscape" r:id="rId1"/>
  <headerFooter>
    <oddHeader>&amp;LTittabawassee River
Prime Rate&amp;CHay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Prime 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2026-01-20T12:57:58Z</cp:lastPrinted>
  <dcterms:created xsi:type="dcterms:W3CDTF">2026-01-19T20:46:53Z</dcterms:created>
  <dcterms:modified xsi:type="dcterms:W3CDTF">2026-02-19T16:32:55Z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